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Temp Files\"/>
    </mc:Choice>
  </mc:AlternateContent>
  <xr:revisionPtr revIDLastSave="0" documentId="8_{33B52B47-250B-40CF-9FF9-2CEE72307EC7}" xr6:coauthVersionLast="41" xr6:coauthVersionMax="41" xr10:uidLastSave="{00000000-0000-0000-0000-000000000000}"/>
  <bookViews>
    <workbookView xWindow="2660" yWindow="2660" windowWidth="19200" windowHeight="10160" tabRatio="743" xr2:uid="{00000000-000D-0000-FFFF-FFFF00000000}"/>
  </bookViews>
  <sheets>
    <sheet name="DashBoard" sheetId="1" r:id="rId1"/>
    <sheet name="Sys Info" sheetId="12" r:id="rId2"/>
    <sheet name="Result" sheetId="11" r:id="rId3"/>
    <sheet name="User Cal. Noise Std" sheetId="17" r:id="rId4"/>
    <sheet name="Meas. Noise Std" sheetId="7" r:id="rId5"/>
    <sheet name="FieldFox" sheetId="8" r:id="rId6"/>
    <sheet name="7227" sheetId="5" state="hidden" r:id="rId7"/>
    <sheet name="DUT" sheetId="22" r:id="rId8"/>
    <sheet name="Preamp" sheetId="23" r:id="rId9"/>
    <sheet name="346" sheetId="6" state="hidden" r:id="rId10"/>
    <sheet name="Calibration" sheetId="3" state="hidden" r:id="rId11"/>
    <sheet name="NseMeas" sheetId="9" r:id="rId12"/>
  </sheets>
  <externalReferences>
    <externalReference r:id="rId13"/>
  </externalReferences>
  <definedNames>
    <definedName name="BW" localSheetId="11">NseMeas!$F$2</definedName>
    <definedName name="BW">Calibration!$F$2</definedName>
    <definedName name="BWsetting">DashBoard!$E$6</definedName>
    <definedName name="Cal_SF_ENR">DashBoard!$D$25</definedName>
    <definedName name="Cal_SF_GamCold">DashBoard!$F$26</definedName>
    <definedName name="CalAmbient">DashBoard!$E$33</definedName>
    <definedName name="CalAmbientR">DashBoard!$F$7</definedName>
    <definedName name="CalGoal">DashBoard!$N$6</definedName>
    <definedName name="CalIntegrationType">DashBoard!$L$4</definedName>
    <definedName name="CalMaxTime">DashBoard!$N$5</definedName>
    <definedName name="CalNseSrc_DataType">DashBoard!$F$21</definedName>
    <definedName name="CalSF_NSgamma">DashBoard!$E$26</definedName>
    <definedName name="ConverterInputStart">DashBoard!$J$5</definedName>
    <definedName name="ConverterInputStop">DashBoard!$J$6</definedName>
    <definedName name="DUT_DataType">DashBoard!$A$10</definedName>
    <definedName name="DutConf" localSheetId="8">Preamp!$AG$3</definedName>
    <definedName name="DUTconf" localSheetId="2">Result!#REF!</definedName>
    <definedName name="DutConf">DUT!$AG$3</definedName>
    <definedName name="DUTgamConf">DashBoard!$D$35</definedName>
    <definedName name="DutType">DashBoard!$C$4</definedName>
    <definedName name="ENRconf">DashBoard!$C$28</definedName>
    <definedName name="ENRU_DataType">DashBoard!$A$28</definedName>
    <definedName name="FFAmbientOffset">DashBoard!$B$52</definedName>
    <definedName name="FFcompressed">FieldFox!$I$3</definedName>
    <definedName name="FieldFoxType">DashBoard!$A$4</definedName>
    <definedName name="FixedCalTime" localSheetId="7">DashBoard!#REF!</definedName>
    <definedName name="FixedCalTime" localSheetId="8">DashBoard!#REF!</definedName>
    <definedName name="FixedCalTime">DashBoard!#REF!</definedName>
    <definedName name="FixedCalTimexx">DashBoard!#REF!</definedName>
    <definedName name="FixedMeasTime">DashBoard!$Q$4</definedName>
    <definedName name="FixedMeasTimeUC">DashBoard!$N$4</definedName>
    <definedName name="FreqStep">DashBoard!$I$8</definedName>
    <definedName name="InputFreqStep">DashBoard!$J$7</definedName>
    <definedName name="IntegrationType">DashBoard!$O$4</definedName>
    <definedName name="Jitter1H1s" localSheetId="11">NseMeas!$D$1</definedName>
    <definedName name="Jitter1H1s">Calibration!$D$1</definedName>
    <definedName name="k_mw" localSheetId="11">NseMeas!$B$2</definedName>
    <definedName name="k_mw">Calibration!$B$2</definedName>
    <definedName name="kT0dB" localSheetId="11">NseMeas!$D$2</definedName>
    <definedName name="kT0dB">Calibration!$D$2</definedName>
    <definedName name="MagKnown" localSheetId="11">NseMeas!$K$1</definedName>
    <definedName name="MagKnown">Calibration!$I$1</definedName>
    <definedName name="MagLimited" localSheetId="11">NseMeas!$K$2</definedName>
    <definedName name="MagLimited">Calibration!$I$2</definedName>
    <definedName name="MeasAmbient">DashBoard!$F$33</definedName>
    <definedName name="MeasAmbientR">DashBoard!$B$50</definedName>
    <definedName name="MeasJitterGoal">DashBoard!$Q$6</definedName>
    <definedName name="MeasMaxTime">DashBoard!$Q$5</definedName>
    <definedName name="nSD">DashBoard!$F$29</definedName>
    <definedName name="NseSrc_DataType">DashBoard!$C$21</definedName>
    <definedName name="NseSrcConf" localSheetId="7">DUT!$AG$3</definedName>
    <definedName name="NseSrcConf" localSheetId="8">Preamp!$AG$3</definedName>
    <definedName name="NseSrcConf" localSheetId="3">'User Cal. Noise Std'!$AD$4</definedName>
    <definedName name="NseSrcConf">'Meas. Noise Std'!$AD$4</definedName>
    <definedName name="NseSrcCong" localSheetId="7">DUT!$AG$3</definedName>
    <definedName name="NseSrcCong" localSheetId="8">Preamp!$AG$3</definedName>
    <definedName name="NseSrcCong" localSheetId="3">'User Cal. Noise Std'!$AD$4</definedName>
    <definedName name="NseSrcCong">'Meas. Noise Std'!$AD$4</definedName>
    <definedName name="NseSrcGamConf">DashBoard!$B$35</definedName>
    <definedName name="NumPoints">DashBoard!$K$7</definedName>
    <definedName name="P1dbBWghz">DashBoard!$F$6</definedName>
    <definedName name="Preamp_DataType">DashBoard!$A$15</definedName>
    <definedName name="PreampCompressWarn">Preamp!$AK$2</definedName>
    <definedName name="PreampConf">#REF!</definedName>
    <definedName name="PreampGamConf">DashBoard!$C$35</definedName>
    <definedName name="PreampRevRatio">DashBoard!$F$18</definedName>
    <definedName name="SelectInfoDisplay">DashBoard!$S$4</definedName>
    <definedName name="SF_DUT_RevRatio">DashBoard!$F$12</definedName>
    <definedName name="SF_DUTGain">DashBoard!$B$12</definedName>
    <definedName name="SF_DUTGamIn">DashBoard!$D$13</definedName>
    <definedName name="SF_DUTGamOut">DashBoard!$E$13</definedName>
    <definedName name="SF_DUTNF">DashBoard!$C$12</definedName>
    <definedName name="SF_ENR">DashBoard!$A$25</definedName>
    <definedName name="SF_ENRU">DashBoard!$B$28</definedName>
    <definedName name="SF_GamCold">DashBoard!$C$26</definedName>
    <definedName name="SF_NSgamma">DashBoard!$B$26</definedName>
    <definedName name="SF_PampRevRatio">DashBoard!$F$18</definedName>
    <definedName name="SF_PreampGain">DashBoard!$A$18</definedName>
    <definedName name="SF_PreampGamIn">DashBoard!$C$19</definedName>
    <definedName name="SF_PreampGamOut">DashBoard!$D$19</definedName>
    <definedName name="SF_PreampNF">DashBoard!$B$18</definedName>
    <definedName name="sf_PreampP1dB">DashBoard!$E$18</definedName>
    <definedName name="SrcDispSelect">DashBoard!$H$39</definedName>
    <definedName name="StartFreqGHz">DashBoard!$K$5</definedName>
    <definedName name="StopFreqGHz">DashBoard!$K$6</definedName>
    <definedName name="T_0" localSheetId="11">NseMeas!$B$1</definedName>
    <definedName name="T_0">Calibration!$B$1</definedName>
    <definedName name="TambientDrift">DashBoard!$E$35</definedName>
    <definedName name="TffDelta">DashBoard!$F$35</definedName>
    <definedName name="UsePreamp">DashBoard!$C$14</definedName>
    <definedName name="UseReverse">DashBoard!$B$36</definedName>
    <definedName name="UseUserCal">DashBoard!$D$4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N4" i="8" l="1"/>
  <c r="AO4" i="8" s="1"/>
  <c r="AP4" i="8" s="1"/>
  <c r="AQ4" i="8" s="1"/>
  <c r="AR4" i="8" s="1"/>
  <c r="AS4" i="8" s="1"/>
  <c r="AT4" i="8" s="1"/>
  <c r="AU4" i="8" s="1"/>
  <c r="AV4" i="8" s="1"/>
  <c r="AM4" i="8"/>
  <c r="AW4" i="8" l="1"/>
  <c r="BU4" i="8"/>
  <c r="BQ4" i="8"/>
  <c r="BM4" i="8"/>
  <c r="AX4" i="8" l="1"/>
  <c r="BU5" i="8"/>
  <c r="BU6" i="8"/>
  <c r="BU7" i="8"/>
  <c r="G5" i="8" s="1"/>
  <c r="BU8" i="8"/>
  <c r="BU9" i="8"/>
  <c r="BU10" i="8"/>
  <c r="BU11" i="8"/>
  <c r="BU12" i="8"/>
  <c r="BU13" i="8"/>
  <c r="BU14" i="8"/>
  <c r="BU15" i="8"/>
  <c r="BU16" i="8"/>
  <c r="BU17" i="8"/>
  <c r="BU18" i="8"/>
  <c r="BU19" i="8"/>
  <c r="BU20" i="8"/>
  <c r="BU21" i="8"/>
  <c r="BU22" i="8"/>
  <c r="BU23" i="8"/>
  <c r="BU24" i="8"/>
  <c r="BM24" i="8"/>
  <c r="BM5" i="8"/>
  <c r="BM6" i="8"/>
  <c r="BM7" i="8"/>
  <c r="BM8" i="8"/>
  <c r="BM9" i="8"/>
  <c r="BM10" i="8"/>
  <c r="BM11" i="8"/>
  <c r="BM12" i="8"/>
  <c r="BM13" i="8"/>
  <c r="BM14" i="8"/>
  <c r="BM15" i="8"/>
  <c r="BM16" i="8"/>
  <c r="BM17" i="8"/>
  <c r="BM18" i="8"/>
  <c r="BM19" i="8"/>
  <c r="BM20" i="8"/>
  <c r="BM21" i="8"/>
  <c r="BM22" i="8"/>
  <c r="BM23" i="8"/>
  <c r="BH6" i="8"/>
  <c r="BH7" i="8"/>
  <c r="BH8" i="8"/>
  <c r="BH9" i="8"/>
  <c r="BH10" i="8"/>
  <c r="BH11" i="8"/>
  <c r="BH12" i="8"/>
  <c r="BH13" i="8"/>
  <c r="BH14" i="8"/>
  <c r="BH15" i="8"/>
  <c r="BH16" i="8"/>
  <c r="BH17" i="8"/>
  <c r="BH18" i="8"/>
  <c r="BH19" i="8"/>
  <c r="BH20" i="8"/>
  <c r="BH21" i="8"/>
  <c r="BH22" i="8"/>
  <c r="BH23" i="8"/>
  <c r="BH24" i="8"/>
  <c r="BH5" i="8"/>
  <c r="BQ5" i="8"/>
  <c r="BQ6" i="8"/>
  <c r="BQ7" i="8"/>
  <c r="C5" i="8" s="1"/>
  <c r="BQ8" i="8"/>
  <c r="BQ9" i="8"/>
  <c r="BQ10" i="8"/>
  <c r="BQ11" i="8"/>
  <c r="BQ12" i="8"/>
  <c r="BQ13" i="8"/>
  <c r="BQ14" i="8"/>
  <c r="BQ15" i="8"/>
  <c r="BQ16" i="8"/>
  <c r="BQ17" i="8"/>
  <c r="BQ18" i="8"/>
  <c r="BQ19" i="8"/>
  <c r="BQ20" i="8"/>
  <c r="BQ21" i="8"/>
  <c r="BQ22" i="8"/>
  <c r="BQ23" i="8"/>
  <c r="BQ24" i="8"/>
  <c r="AY4" i="8" l="1"/>
  <c r="AZ4" i="8" l="1"/>
  <c r="B4" i="12"/>
  <c r="BA4" i="8" l="1"/>
  <c r="AZ5" i="8"/>
  <c r="D26" i="1"/>
  <c r="BB4" i="8" l="1"/>
  <c r="BA5" i="8"/>
  <c r="F26" i="1"/>
  <c r="E26" i="1"/>
  <c r="BC4" i="8" l="1"/>
  <c r="BB5" i="8"/>
  <c r="AT11" i="6"/>
  <c r="AS11" i="6"/>
  <c r="AM11" i="6"/>
  <c r="AL11" i="6"/>
  <c r="BD4" i="8" l="1"/>
  <c r="BC5" i="8"/>
  <c r="D35" i="1"/>
  <c r="C35" i="1"/>
  <c r="B35" i="1"/>
  <c r="H47" i="1"/>
  <c r="G47" i="1"/>
  <c r="F47" i="1"/>
  <c r="E47" i="1"/>
  <c r="D47" i="1"/>
  <c r="C47" i="1"/>
  <c r="E50" i="1"/>
  <c r="F50" i="1" s="1"/>
  <c r="G50" i="1" s="1"/>
  <c r="E49" i="1"/>
  <c r="F49" i="1" s="1"/>
  <c r="G49" i="1" s="1"/>
  <c r="D50" i="1"/>
  <c r="D49" i="1"/>
  <c r="D48" i="1"/>
  <c r="E48" i="1" s="1"/>
  <c r="F48" i="1" s="1"/>
  <c r="G48" i="1" s="1"/>
  <c r="BE4" i="8" l="1"/>
  <c r="BD5" i="8"/>
  <c r="F17" i="1"/>
  <c r="F16" i="1"/>
  <c r="F11" i="1"/>
  <c r="F10" i="1"/>
  <c r="S4" i="11"/>
  <c r="R4" i="11"/>
  <c r="T4" i="12"/>
  <c r="X26" i="1"/>
  <c r="X27" i="1"/>
  <c r="U4" i="12"/>
  <c r="AH107" i="22"/>
  <c r="AH106" i="22"/>
  <c r="AH105" i="22"/>
  <c r="AH104" i="22"/>
  <c r="AH103" i="22"/>
  <c r="AH102" i="22"/>
  <c r="AH101" i="22"/>
  <c r="AH100" i="22"/>
  <c r="AH99" i="22"/>
  <c r="AH98" i="22"/>
  <c r="AH97" i="22"/>
  <c r="AH96" i="22"/>
  <c r="AH95" i="22"/>
  <c r="AH94" i="22"/>
  <c r="AH93" i="22"/>
  <c r="AH92" i="22"/>
  <c r="AH91" i="22"/>
  <c r="AH90" i="22"/>
  <c r="AH89" i="22"/>
  <c r="AH88" i="22"/>
  <c r="AH87" i="22"/>
  <c r="AH86" i="22"/>
  <c r="AH85" i="22"/>
  <c r="AH84" i="22"/>
  <c r="AH83" i="22"/>
  <c r="AH82" i="22"/>
  <c r="AH81" i="22"/>
  <c r="AH80" i="22"/>
  <c r="AH79" i="22"/>
  <c r="AH78" i="22"/>
  <c r="AH77" i="22"/>
  <c r="AH76" i="22"/>
  <c r="AH75" i="22"/>
  <c r="AH74" i="22"/>
  <c r="AH73" i="22"/>
  <c r="AH72" i="22"/>
  <c r="AH71" i="22"/>
  <c r="AH70" i="22"/>
  <c r="AH69" i="22"/>
  <c r="AH68" i="22"/>
  <c r="AH67" i="22"/>
  <c r="AH66" i="22"/>
  <c r="AH65" i="22"/>
  <c r="AH64" i="22"/>
  <c r="AH63" i="22"/>
  <c r="AH62" i="22"/>
  <c r="AH61" i="22"/>
  <c r="AH60" i="22"/>
  <c r="AH59" i="22"/>
  <c r="AH58" i="22"/>
  <c r="AH57" i="22"/>
  <c r="AH56" i="22"/>
  <c r="AH55" i="22"/>
  <c r="AH54" i="22"/>
  <c r="AH53" i="22"/>
  <c r="AH52" i="22"/>
  <c r="AH51" i="22"/>
  <c r="AH50" i="22"/>
  <c r="AH49" i="22"/>
  <c r="AH48" i="22"/>
  <c r="AH47" i="22"/>
  <c r="AH46" i="22"/>
  <c r="AH45" i="22"/>
  <c r="AH44" i="22"/>
  <c r="AH43" i="22"/>
  <c r="AH42" i="22"/>
  <c r="AH41" i="22"/>
  <c r="AH40" i="22"/>
  <c r="AH39" i="22"/>
  <c r="AH38" i="22"/>
  <c r="AH37" i="22"/>
  <c r="AH36" i="22"/>
  <c r="AH35" i="22"/>
  <c r="AH34" i="22"/>
  <c r="AH33" i="22"/>
  <c r="AH32" i="22"/>
  <c r="AH31" i="22"/>
  <c r="AH30" i="22"/>
  <c r="AH29" i="22"/>
  <c r="AH28" i="22"/>
  <c r="AH27" i="22"/>
  <c r="AH26" i="22"/>
  <c r="AH25" i="22"/>
  <c r="AH24" i="22"/>
  <c r="AH23" i="22"/>
  <c r="AH22" i="22"/>
  <c r="AH21" i="22"/>
  <c r="AH20" i="22"/>
  <c r="AH19" i="22"/>
  <c r="AH18" i="22"/>
  <c r="AH17" i="22"/>
  <c r="AH16" i="22"/>
  <c r="AH15" i="22"/>
  <c r="AH14" i="22"/>
  <c r="AH13" i="22"/>
  <c r="AH12" i="22"/>
  <c r="AH11" i="22"/>
  <c r="AH10" i="22"/>
  <c r="AH9" i="22"/>
  <c r="AH8" i="22"/>
  <c r="AH7" i="22"/>
  <c r="AH6" i="22"/>
  <c r="BF4" i="8" l="1"/>
  <c r="BE5" i="8"/>
  <c r="J4" i="11"/>
  <c r="I4" i="11"/>
  <c r="H4" i="11"/>
  <c r="P4" i="11"/>
  <c r="P3" i="11"/>
  <c r="T5" i="12"/>
  <c r="BF5" i="8" l="1"/>
  <c r="L7" i="1"/>
  <c r="L89" i="7"/>
  <c r="L88" i="7"/>
  <c r="L87" i="7"/>
  <c r="L81" i="7"/>
  <c r="L65" i="7"/>
  <c r="K102" i="7"/>
  <c r="L102" i="7" s="1"/>
  <c r="K101" i="7"/>
  <c r="L101" i="7" s="1"/>
  <c r="K100" i="7"/>
  <c r="L100" i="7" s="1"/>
  <c r="K99" i="7"/>
  <c r="L99" i="7" s="1"/>
  <c r="K98" i="7"/>
  <c r="L98" i="7" s="1"/>
  <c r="K97" i="7"/>
  <c r="L97" i="7" s="1"/>
  <c r="K96" i="7"/>
  <c r="L96" i="7" s="1"/>
  <c r="K95" i="7"/>
  <c r="L95" i="7" s="1"/>
  <c r="K94" i="7"/>
  <c r="L94" i="7" s="1"/>
  <c r="K93" i="7"/>
  <c r="L93" i="7" s="1"/>
  <c r="K92" i="7"/>
  <c r="L92" i="7" s="1"/>
  <c r="K91" i="7"/>
  <c r="L91" i="7" s="1"/>
  <c r="K90" i="7"/>
  <c r="L90" i="7" s="1"/>
  <c r="K89" i="7"/>
  <c r="K88" i="7"/>
  <c r="K87" i="7"/>
  <c r="K86" i="7"/>
  <c r="L86" i="7" s="1"/>
  <c r="K85" i="7"/>
  <c r="L85" i="7" s="1"/>
  <c r="K84" i="7"/>
  <c r="L84" i="7" s="1"/>
  <c r="K83" i="7"/>
  <c r="L83" i="7" s="1"/>
  <c r="K82" i="7"/>
  <c r="L82" i="7" s="1"/>
  <c r="K81" i="7"/>
  <c r="K80" i="7"/>
  <c r="L80" i="7" s="1"/>
  <c r="K79" i="7"/>
  <c r="L79" i="7" s="1"/>
  <c r="K78" i="7"/>
  <c r="L78" i="7" s="1"/>
  <c r="K77" i="7"/>
  <c r="L77" i="7" s="1"/>
  <c r="K76" i="7"/>
  <c r="L76" i="7" s="1"/>
  <c r="K75" i="7"/>
  <c r="L75" i="7" s="1"/>
  <c r="K74" i="7"/>
  <c r="L74" i="7" s="1"/>
  <c r="K73" i="7"/>
  <c r="L73" i="7" s="1"/>
  <c r="K72" i="7"/>
  <c r="L72" i="7" s="1"/>
  <c r="K71" i="7"/>
  <c r="L71" i="7" s="1"/>
  <c r="K70" i="7"/>
  <c r="L70" i="7" s="1"/>
  <c r="K69" i="7"/>
  <c r="L69" i="7" s="1"/>
  <c r="K68" i="7"/>
  <c r="L68" i="7" s="1"/>
  <c r="K67" i="7"/>
  <c r="L67" i="7" s="1"/>
  <c r="K66" i="7"/>
  <c r="L66" i="7" s="1"/>
  <c r="K65"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K64" i="7" s="1"/>
  <c r="L64" i="7" s="1"/>
  <c r="J63" i="7"/>
  <c r="K63" i="7" s="1"/>
  <c r="L63" i="7" s="1"/>
  <c r="J62" i="7"/>
  <c r="K62" i="7" s="1"/>
  <c r="L62" i="7" s="1"/>
  <c r="J61" i="7"/>
  <c r="K61" i="7" s="1"/>
  <c r="L61" i="7" s="1"/>
  <c r="J60" i="7"/>
  <c r="K60" i="7" s="1"/>
  <c r="L60" i="7" s="1"/>
  <c r="J59" i="7"/>
  <c r="K59" i="7" s="1"/>
  <c r="L59" i="7" s="1"/>
  <c r="J58" i="7"/>
  <c r="K58" i="7" s="1"/>
  <c r="L58" i="7" s="1"/>
  <c r="J57" i="7"/>
  <c r="K57" i="7" s="1"/>
  <c r="L57" i="7" s="1"/>
  <c r="J56" i="7"/>
  <c r="K56" i="7" s="1"/>
  <c r="L56" i="7" s="1"/>
  <c r="J55" i="7"/>
  <c r="K55" i="7" s="1"/>
  <c r="L55" i="7" s="1"/>
  <c r="J54" i="7"/>
  <c r="K54" i="7" s="1"/>
  <c r="L54" i="7" s="1"/>
  <c r="J53" i="7"/>
  <c r="K53" i="7" s="1"/>
  <c r="L53" i="7" s="1"/>
  <c r="J52" i="7"/>
  <c r="K52" i="7" s="1"/>
  <c r="L52" i="7" s="1"/>
  <c r="J51" i="7"/>
  <c r="K51" i="7" s="1"/>
  <c r="L51" i="7" s="1"/>
  <c r="J50" i="7"/>
  <c r="K50" i="7" s="1"/>
  <c r="L50" i="7" s="1"/>
  <c r="J49" i="7"/>
  <c r="K49" i="7" s="1"/>
  <c r="L49" i="7" s="1"/>
  <c r="J48" i="7"/>
  <c r="K48" i="7" s="1"/>
  <c r="L48" i="7" s="1"/>
  <c r="J47" i="7"/>
  <c r="K47" i="7" s="1"/>
  <c r="L47" i="7" s="1"/>
  <c r="J46" i="7"/>
  <c r="K46" i="7" s="1"/>
  <c r="L46" i="7" s="1"/>
  <c r="J45" i="7"/>
  <c r="K45" i="7" s="1"/>
  <c r="L45" i="7" s="1"/>
  <c r="J44" i="7"/>
  <c r="K44" i="7" s="1"/>
  <c r="L44" i="7" s="1"/>
  <c r="J43" i="7"/>
  <c r="K43" i="7" s="1"/>
  <c r="L43" i="7" s="1"/>
  <c r="J42" i="7"/>
  <c r="K42" i="7" s="1"/>
  <c r="L42" i="7" s="1"/>
  <c r="J41" i="7"/>
  <c r="K41" i="7" s="1"/>
  <c r="L41" i="7" s="1"/>
  <c r="J40" i="7"/>
  <c r="K40" i="7" s="1"/>
  <c r="L40" i="7" s="1"/>
  <c r="J39" i="7"/>
  <c r="K39" i="7" s="1"/>
  <c r="L39" i="7" s="1"/>
  <c r="J38" i="7"/>
  <c r="K38" i="7" s="1"/>
  <c r="L38" i="7" s="1"/>
  <c r="J37" i="7"/>
  <c r="K37" i="7" s="1"/>
  <c r="L37" i="7" s="1"/>
  <c r="J36" i="7"/>
  <c r="K36" i="7" s="1"/>
  <c r="L36" i="7" s="1"/>
  <c r="J35" i="7"/>
  <c r="K35" i="7" s="1"/>
  <c r="L35" i="7" s="1"/>
  <c r="J34" i="7"/>
  <c r="K34" i="7" s="1"/>
  <c r="L34" i="7" s="1"/>
  <c r="J33" i="7"/>
  <c r="K33" i="7" s="1"/>
  <c r="L33" i="7" s="1"/>
  <c r="J32" i="7"/>
  <c r="K32" i="7" s="1"/>
  <c r="L32" i="7" s="1"/>
  <c r="J31" i="7"/>
  <c r="K31" i="7" s="1"/>
  <c r="L31" i="7" s="1"/>
  <c r="J30" i="7"/>
  <c r="K30" i="7" s="1"/>
  <c r="L30" i="7" s="1"/>
  <c r="J29" i="7"/>
  <c r="K29" i="7" s="1"/>
  <c r="L29" i="7" s="1"/>
  <c r="J28" i="7"/>
  <c r="K28" i="7" s="1"/>
  <c r="L28" i="7" s="1"/>
  <c r="J27" i="7"/>
  <c r="K27" i="7" s="1"/>
  <c r="L27" i="7" s="1"/>
  <c r="J26" i="7"/>
  <c r="K26" i="7" s="1"/>
  <c r="L26" i="7" s="1"/>
  <c r="J25" i="7"/>
  <c r="K25" i="7" s="1"/>
  <c r="L25" i="7" s="1"/>
  <c r="J24" i="7"/>
  <c r="K24" i="7" s="1"/>
  <c r="L24" i="7" s="1"/>
  <c r="J23" i="7"/>
  <c r="K23" i="7" s="1"/>
  <c r="L23" i="7" s="1"/>
  <c r="J22" i="7"/>
  <c r="K22" i="7" s="1"/>
  <c r="L22" i="7" s="1"/>
  <c r="J21" i="7"/>
  <c r="K21" i="7" s="1"/>
  <c r="L21" i="7" s="1"/>
  <c r="J20" i="7"/>
  <c r="K20" i="7" s="1"/>
  <c r="L20" i="7" s="1"/>
  <c r="J19" i="7"/>
  <c r="K19" i="7" s="1"/>
  <c r="L19" i="7" s="1"/>
  <c r="J18" i="7"/>
  <c r="K18" i="7" s="1"/>
  <c r="L18" i="7" s="1"/>
  <c r="J17" i="7"/>
  <c r="K17" i="7" s="1"/>
  <c r="L17" i="7" s="1"/>
  <c r="J16" i="7"/>
  <c r="K16" i="7" s="1"/>
  <c r="L16" i="7" s="1"/>
  <c r="J15" i="7"/>
  <c r="K15" i="7" s="1"/>
  <c r="L15" i="7" s="1"/>
  <c r="J14" i="7"/>
  <c r="K14" i="7" s="1"/>
  <c r="L14" i="7" s="1"/>
  <c r="J13" i="7"/>
  <c r="K13" i="7" s="1"/>
  <c r="L13" i="7" s="1"/>
  <c r="J12" i="7"/>
  <c r="K12" i="7" s="1"/>
  <c r="L12" i="7" s="1"/>
  <c r="L101" i="17"/>
  <c r="L88" i="17"/>
  <c r="L80" i="17"/>
  <c r="K102" i="17"/>
  <c r="L102" i="17" s="1"/>
  <c r="K101" i="17"/>
  <c r="K100" i="17"/>
  <c r="L100" i="17" s="1"/>
  <c r="K99" i="17"/>
  <c r="L99" i="17" s="1"/>
  <c r="K98" i="17"/>
  <c r="L98" i="17" s="1"/>
  <c r="K97" i="17"/>
  <c r="L97" i="17" s="1"/>
  <c r="K96" i="17"/>
  <c r="L96" i="17" s="1"/>
  <c r="K95" i="17"/>
  <c r="L95" i="17" s="1"/>
  <c r="K94" i="17"/>
  <c r="L94" i="17" s="1"/>
  <c r="K93" i="17"/>
  <c r="L93" i="17" s="1"/>
  <c r="K92" i="17"/>
  <c r="L92" i="17" s="1"/>
  <c r="K91" i="17"/>
  <c r="L91" i="17" s="1"/>
  <c r="K90" i="17"/>
  <c r="L90" i="17" s="1"/>
  <c r="K89" i="17"/>
  <c r="L89" i="17" s="1"/>
  <c r="K88" i="17"/>
  <c r="K87" i="17"/>
  <c r="L87" i="17" s="1"/>
  <c r="K86" i="17"/>
  <c r="L86" i="17" s="1"/>
  <c r="K85" i="17"/>
  <c r="L85" i="17" s="1"/>
  <c r="K84" i="17"/>
  <c r="L84" i="17" s="1"/>
  <c r="K83" i="17"/>
  <c r="L83" i="17" s="1"/>
  <c r="K82" i="17"/>
  <c r="L82" i="17" s="1"/>
  <c r="K81" i="17"/>
  <c r="L81" i="17" s="1"/>
  <c r="K80" i="17"/>
  <c r="K79" i="17"/>
  <c r="L79" i="17" s="1"/>
  <c r="K78" i="17"/>
  <c r="L78" i="17" s="1"/>
  <c r="K77" i="17"/>
  <c r="L77" i="17" s="1"/>
  <c r="K76" i="17"/>
  <c r="L76" i="17" s="1"/>
  <c r="K75" i="17"/>
  <c r="L75" i="17" s="1"/>
  <c r="K74" i="17"/>
  <c r="L74" i="17" s="1"/>
  <c r="K73" i="17"/>
  <c r="L73" i="17" s="1"/>
  <c r="K72" i="17"/>
  <c r="L72" i="17" s="1"/>
  <c r="K71" i="17"/>
  <c r="L71" i="17" s="1"/>
  <c r="K70" i="17"/>
  <c r="L70" i="17" s="1"/>
  <c r="K69" i="17"/>
  <c r="L69" i="17" s="1"/>
  <c r="K68" i="17"/>
  <c r="L68" i="17" s="1"/>
  <c r="K67" i="17"/>
  <c r="L67" i="17" s="1"/>
  <c r="K66" i="17"/>
  <c r="L66" i="17" s="1"/>
  <c r="J102" i="17"/>
  <c r="J101" i="17"/>
  <c r="J100" i="17"/>
  <c r="J99" i="17"/>
  <c r="J98" i="17"/>
  <c r="J97" i="17"/>
  <c r="J96" i="17"/>
  <c r="J95" i="17"/>
  <c r="J94" i="17"/>
  <c r="J93" i="17"/>
  <c r="J92" i="17"/>
  <c r="J91" i="17"/>
  <c r="J90" i="17"/>
  <c r="J89" i="17"/>
  <c r="J88" i="17"/>
  <c r="J87" i="17"/>
  <c r="J86" i="17"/>
  <c r="J85" i="17"/>
  <c r="J84" i="17"/>
  <c r="J83" i="17"/>
  <c r="J82" i="17"/>
  <c r="J81" i="17"/>
  <c r="J80" i="17"/>
  <c r="J79" i="17"/>
  <c r="J78" i="17"/>
  <c r="J77" i="17"/>
  <c r="J76" i="17"/>
  <c r="J75" i="17"/>
  <c r="J74" i="17"/>
  <c r="J73" i="17"/>
  <c r="J72" i="17"/>
  <c r="J71" i="17"/>
  <c r="J70" i="17"/>
  <c r="J69" i="17"/>
  <c r="J68" i="17"/>
  <c r="J67" i="17"/>
  <c r="J66" i="17"/>
  <c r="J65" i="17"/>
  <c r="K65" i="17" s="1"/>
  <c r="L65" i="17" s="1"/>
  <c r="J64" i="17"/>
  <c r="K64" i="17" s="1"/>
  <c r="L64" i="17" s="1"/>
  <c r="J63" i="17"/>
  <c r="K63" i="17" s="1"/>
  <c r="L63" i="17" s="1"/>
  <c r="J62" i="17"/>
  <c r="K62" i="17" s="1"/>
  <c r="L62" i="17" s="1"/>
  <c r="J61" i="17"/>
  <c r="K61" i="17" s="1"/>
  <c r="L61" i="17" s="1"/>
  <c r="J60" i="17"/>
  <c r="K60" i="17" s="1"/>
  <c r="L60" i="17" s="1"/>
  <c r="J59" i="17"/>
  <c r="K59" i="17" s="1"/>
  <c r="L59" i="17" s="1"/>
  <c r="J58" i="17"/>
  <c r="K58" i="17" s="1"/>
  <c r="L58" i="17" s="1"/>
  <c r="J57" i="17"/>
  <c r="K57" i="17" s="1"/>
  <c r="L57" i="17" s="1"/>
  <c r="J56" i="17"/>
  <c r="K56" i="17" s="1"/>
  <c r="L56" i="17" s="1"/>
  <c r="J55" i="17"/>
  <c r="K55" i="17" s="1"/>
  <c r="L55" i="17" s="1"/>
  <c r="J54" i="17"/>
  <c r="K54" i="17" s="1"/>
  <c r="L54" i="17" s="1"/>
  <c r="J53" i="17"/>
  <c r="K53" i="17" s="1"/>
  <c r="L53" i="17" s="1"/>
  <c r="J52" i="17"/>
  <c r="K52" i="17" s="1"/>
  <c r="L52" i="17" s="1"/>
  <c r="J51" i="17"/>
  <c r="K51" i="17" s="1"/>
  <c r="L51" i="17" s="1"/>
  <c r="J50" i="17"/>
  <c r="K50" i="17" s="1"/>
  <c r="L50" i="17" s="1"/>
  <c r="J49" i="17"/>
  <c r="K49" i="17" s="1"/>
  <c r="L49" i="17" s="1"/>
  <c r="J48" i="17"/>
  <c r="K48" i="17" s="1"/>
  <c r="L48" i="17" s="1"/>
  <c r="J47" i="17"/>
  <c r="K47" i="17" s="1"/>
  <c r="L47" i="17" s="1"/>
  <c r="J46" i="17"/>
  <c r="K46" i="17" s="1"/>
  <c r="L46" i="17" s="1"/>
  <c r="J45" i="17"/>
  <c r="K45" i="17" s="1"/>
  <c r="L45" i="17" s="1"/>
  <c r="J44" i="17"/>
  <c r="K44" i="17" s="1"/>
  <c r="L44" i="17" s="1"/>
  <c r="J43" i="17"/>
  <c r="K43" i="17" s="1"/>
  <c r="L43" i="17" s="1"/>
  <c r="J42" i="17"/>
  <c r="K42" i="17" s="1"/>
  <c r="L42" i="17" s="1"/>
  <c r="J41" i="17"/>
  <c r="K41" i="17" s="1"/>
  <c r="L41" i="17" s="1"/>
  <c r="J40" i="17"/>
  <c r="K40" i="17" s="1"/>
  <c r="L40" i="17" s="1"/>
  <c r="J39" i="17"/>
  <c r="K39" i="17" s="1"/>
  <c r="L39" i="17" s="1"/>
  <c r="J38" i="17"/>
  <c r="K38" i="17" s="1"/>
  <c r="L38" i="17" s="1"/>
  <c r="J37" i="17"/>
  <c r="K37" i="17" s="1"/>
  <c r="L37" i="17" s="1"/>
  <c r="J36" i="17"/>
  <c r="K36" i="17" s="1"/>
  <c r="L36" i="17" s="1"/>
  <c r="J35" i="17"/>
  <c r="K35" i="17" s="1"/>
  <c r="L35" i="17" s="1"/>
  <c r="J34" i="17"/>
  <c r="K34" i="17" s="1"/>
  <c r="L34" i="17" s="1"/>
  <c r="J33" i="17"/>
  <c r="K33" i="17" s="1"/>
  <c r="L33" i="17" s="1"/>
  <c r="J32" i="17"/>
  <c r="K32" i="17" s="1"/>
  <c r="L32" i="17" s="1"/>
  <c r="J31" i="17"/>
  <c r="K31" i="17" s="1"/>
  <c r="L31" i="17" s="1"/>
  <c r="J30" i="17"/>
  <c r="K30" i="17" s="1"/>
  <c r="L30" i="17" s="1"/>
  <c r="J29" i="17"/>
  <c r="K29" i="17" s="1"/>
  <c r="L29" i="17" s="1"/>
  <c r="J28" i="17"/>
  <c r="K28" i="17" s="1"/>
  <c r="L28" i="17" s="1"/>
  <c r="J27" i="17"/>
  <c r="K27" i="17" s="1"/>
  <c r="L27" i="17" s="1"/>
  <c r="J26" i="17"/>
  <c r="K26" i="17" s="1"/>
  <c r="L26" i="17" s="1"/>
  <c r="J25" i="17"/>
  <c r="K25" i="17" s="1"/>
  <c r="L25" i="17" s="1"/>
  <c r="J24" i="17"/>
  <c r="K24" i="17" s="1"/>
  <c r="L24" i="17" s="1"/>
  <c r="J23" i="17"/>
  <c r="K23" i="17" s="1"/>
  <c r="L23" i="17" s="1"/>
  <c r="J22" i="17"/>
  <c r="K22" i="17" s="1"/>
  <c r="L22" i="17" s="1"/>
  <c r="J21" i="17"/>
  <c r="K21" i="17" s="1"/>
  <c r="L21" i="17" s="1"/>
  <c r="J20" i="17"/>
  <c r="K20" i="17" s="1"/>
  <c r="L20" i="17" s="1"/>
  <c r="J19" i="17"/>
  <c r="K19" i="17" s="1"/>
  <c r="L19" i="17" s="1"/>
  <c r="J18" i="17"/>
  <c r="K18" i="17" s="1"/>
  <c r="L18" i="17" s="1"/>
  <c r="J17" i="17"/>
  <c r="K17" i="17" s="1"/>
  <c r="L17" i="17" s="1"/>
  <c r="J16" i="17"/>
  <c r="K16" i="17" s="1"/>
  <c r="L16" i="17" s="1"/>
  <c r="J15" i="17"/>
  <c r="K15" i="17" s="1"/>
  <c r="L15" i="17" s="1"/>
  <c r="J14" i="17"/>
  <c r="K14" i="17" s="1"/>
  <c r="L14" i="17" s="1"/>
  <c r="J13" i="17"/>
  <c r="K13" i="17" s="1"/>
  <c r="L13" i="17" s="1"/>
  <c r="J12" i="17"/>
  <c r="K12" i="17" s="1"/>
  <c r="L12" i="17" s="1"/>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6" i="22"/>
  <c r="T106" i="12"/>
  <c r="T105" i="12"/>
  <c r="T104" i="12"/>
  <c r="T103" i="12"/>
  <c r="T102" i="12"/>
  <c r="T101" i="12"/>
  <c r="T100" i="12"/>
  <c r="T99" i="12"/>
  <c r="T98" i="12"/>
  <c r="T97" i="12"/>
  <c r="T96" i="12"/>
  <c r="T95" i="12"/>
  <c r="T94" i="12"/>
  <c r="T93" i="12"/>
  <c r="T92" i="12"/>
  <c r="T91" i="12"/>
  <c r="T90" i="12"/>
  <c r="T89" i="12"/>
  <c r="T88" i="12"/>
  <c r="T87" i="12"/>
  <c r="T86" i="12"/>
  <c r="T85" i="12"/>
  <c r="T84" i="12"/>
  <c r="T83" i="12"/>
  <c r="T82" i="12"/>
  <c r="T81" i="12"/>
  <c r="T80" i="12"/>
  <c r="T79" i="12"/>
  <c r="T78" i="12"/>
  <c r="T77" i="12"/>
  <c r="T76" i="12"/>
  <c r="T75" i="12"/>
  <c r="T74" i="12"/>
  <c r="T73" i="12"/>
  <c r="T72" i="12"/>
  <c r="T71" i="12"/>
  <c r="T70" i="12"/>
  <c r="T69" i="12"/>
  <c r="T68" i="12"/>
  <c r="T67" i="12"/>
  <c r="T66" i="12"/>
  <c r="T65" i="12"/>
  <c r="T64" i="12"/>
  <c r="T63" i="12"/>
  <c r="T62" i="12"/>
  <c r="T61" i="12"/>
  <c r="T60" i="12"/>
  <c r="T59" i="12"/>
  <c r="T58" i="12"/>
  <c r="T57" i="12"/>
  <c r="T56" i="12"/>
  <c r="T55" i="12"/>
  <c r="T54" i="12"/>
  <c r="T53" i="12"/>
  <c r="T52" i="12"/>
  <c r="T51" i="12"/>
  <c r="T50" i="12"/>
  <c r="T49" i="12"/>
  <c r="T48" i="12"/>
  <c r="T47" i="12"/>
  <c r="T46" i="12"/>
  <c r="T45" i="12"/>
  <c r="T44" i="12"/>
  <c r="T43" i="12"/>
  <c r="T42" i="12"/>
  <c r="T41" i="12"/>
  <c r="T40" i="12"/>
  <c r="T39" i="12"/>
  <c r="T38" i="12"/>
  <c r="T37" i="12"/>
  <c r="T36" i="12"/>
  <c r="T35" i="12"/>
  <c r="T34" i="12"/>
  <c r="T33" i="12"/>
  <c r="T32" i="12"/>
  <c r="T31" i="12"/>
  <c r="T30" i="12"/>
  <c r="T29" i="12"/>
  <c r="T28" i="12"/>
  <c r="T27" i="12"/>
  <c r="T26" i="12"/>
  <c r="T25" i="12"/>
  <c r="T24" i="12"/>
  <c r="T23" i="12"/>
  <c r="T22" i="12"/>
  <c r="T21" i="12"/>
  <c r="T20" i="12"/>
  <c r="T19" i="12"/>
  <c r="T18" i="12"/>
  <c r="T17" i="12"/>
  <c r="T16" i="12"/>
  <c r="T15" i="12"/>
  <c r="T14" i="12"/>
  <c r="T13" i="12"/>
  <c r="T12" i="12"/>
  <c r="T11" i="12"/>
  <c r="T10" i="12"/>
  <c r="T9" i="12"/>
  <c r="T8" i="12"/>
  <c r="T7" i="12"/>
  <c r="T6" i="12"/>
  <c r="D19" i="1"/>
  <c r="C19" i="1"/>
  <c r="I101" i="23"/>
  <c r="J101" i="23"/>
  <c r="K101" i="23" s="1"/>
  <c r="I100" i="23"/>
  <c r="J100" i="23"/>
  <c r="K100" i="23" s="1"/>
  <c r="I99" i="23"/>
  <c r="J99" i="23"/>
  <c r="K99" i="23" s="1"/>
  <c r="I98" i="23"/>
  <c r="J98" i="23"/>
  <c r="K98" i="23" s="1"/>
  <c r="I97" i="23"/>
  <c r="J97" i="23"/>
  <c r="K97" i="23" s="1"/>
  <c r="I96" i="23"/>
  <c r="J96" i="23"/>
  <c r="K96" i="23" s="1"/>
  <c r="I95" i="23"/>
  <c r="J95" i="23"/>
  <c r="K95" i="23" s="1"/>
  <c r="I94" i="23"/>
  <c r="J94" i="23"/>
  <c r="K94" i="23" s="1"/>
  <c r="I93" i="23"/>
  <c r="J93" i="23"/>
  <c r="K93" i="23" s="1"/>
  <c r="I92" i="23"/>
  <c r="J92" i="23"/>
  <c r="K92" i="23" s="1"/>
  <c r="I91" i="23"/>
  <c r="J91" i="23"/>
  <c r="K91" i="23" s="1"/>
  <c r="I90" i="23"/>
  <c r="J90" i="23"/>
  <c r="K90" i="23" s="1"/>
  <c r="I89" i="23"/>
  <c r="J89" i="23"/>
  <c r="K89" i="23" s="1"/>
  <c r="I88" i="23"/>
  <c r="J88" i="23"/>
  <c r="K88" i="23" s="1"/>
  <c r="I87" i="23"/>
  <c r="J87" i="23"/>
  <c r="K87" i="23" s="1"/>
  <c r="I86" i="23"/>
  <c r="J86" i="23"/>
  <c r="K86" i="23" s="1"/>
  <c r="I85" i="23"/>
  <c r="J85" i="23"/>
  <c r="K85" i="23" s="1"/>
  <c r="I84" i="23"/>
  <c r="J84" i="23"/>
  <c r="K84" i="23" s="1"/>
  <c r="I83" i="23"/>
  <c r="J83" i="23"/>
  <c r="K83" i="23" s="1"/>
  <c r="I82" i="23"/>
  <c r="J82" i="23"/>
  <c r="K82" i="23" s="1"/>
  <c r="I81" i="23"/>
  <c r="J81" i="23"/>
  <c r="K81" i="23" s="1"/>
  <c r="I80" i="23"/>
  <c r="J80" i="23"/>
  <c r="K80" i="23" s="1"/>
  <c r="I79" i="23"/>
  <c r="J79" i="23"/>
  <c r="K79" i="23" s="1"/>
  <c r="I78" i="23"/>
  <c r="J78" i="23"/>
  <c r="K78" i="23" s="1"/>
  <c r="I77" i="23"/>
  <c r="J77" i="23"/>
  <c r="K77" i="23" s="1"/>
  <c r="I76" i="23"/>
  <c r="J76" i="23"/>
  <c r="K76" i="23" s="1"/>
  <c r="I75" i="23"/>
  <c r="J75" i="23"/>
  <c r="K75" i="23" s="1"/>
  <c r="I74" i="23"/>
  <c r="J74" i="23"/>
  <c r="K74" i="23" s="1"/>
  <c r="I73" i="23"/>
  <c r="J73" i="23"/>
  <c r="K73" i="23" s="1"/>
  <c r="I72" i="23"/>
  <c r="J72" i="23"/>
  <c r="K72" i="23" s="1"/>
  <c r="I71" i="23"/>
  <c r="J71" i="23"/>
  <c r="K71" i="23" s="1"/>
  <c r="I70" i="23"/>
  <c r="J70" i="23"/>
  <c r="K70" i="23" s="1"/>
  <c r="I69" i="23"/>
  <c r="J69" i="23"/>
  <c r="K69" i="23" s="1"/>
  <c r="I68" i="23"/>
  <c r="J68" i="23"/>
  <c r="K68" i="23" s="1"/>
  <c r="I67" i="23"/>
  <c r="J67" i="23"/>
  <c r="K67" i="23" s="1"/>
  <c r="I66" i="23"/>
  <c r="J66" i="23"/>
  <c r="K66" i="23" s="1"/>
  <c r="I65" i="23"/>
  <c r="J65" i="23"/>
  <c r="K65" i="23" s="1"/>
  <c r="I64" i="23"/>
  <c r="J64" i="23"/>
  <c r="K64" i="23" s="1"/>
  <c r="I63" i="23"/>
  <c r="J63" i="23"/>
  <c r="K63" i="23" s="1"/>
  <c r="I62" i="23"/>
  <c r="J62" i="23"/>
  <c r="K62" i="23" s="1"/>
  <c r="I61" i="23"/>
  <c r="J61" i="23"/>
  <c r="K61" i="23" s="1"/>
  <c r="I60" i="23"/>
  <c r="J60" i="23"/>
  <c r="K60" i="23" s="1"/>
  <c r="I59" i="23"/>
  <c r="J59" i="23"/>
  <c r="K59" i="23" s="1"/>
  <c r="I58" i="23"/>
  <c r="J58" i="23" s="1"/>
  <c r="K58" i="23" s="1"/>
  <c r="I57" i="23"/>
  <c r="J57" i="23"/>
  <c r="K57" i="23" s="1"/>
  <c r="I56" i="23"/>
  <c r="J56" i="23" s="1"/>
  <c r="K56" i="23" s="1"/>
  <c r="I55" i="23"/>
  <c r="J55" i="23"/>
  <c r="K55" i="23" s="1"/>
  <c r="I54" i="23"/>
  <c r="J54" i="23" s="1"/>
  <c r="K54" i="23" s="1"/>
  <c r="I53" i="23"/>
  <c r="J53" i="23" s="1"/>
  <c r="K53" i="23" s="1"/>
  <c r="I52" i="23"/>
  <c r="J52" i="23" s="1"/>
  <c r="K52" i="23" s="1"/>
  <c r="I51" i="23"/>
  <c r="J51" i="23" s="1"/>
  <c r="K51" i="23" s="1"/>
  <c r="I50" i="23"/>
  <c r="J50" i="23" s="1"/>
  <c r="K50" i="23" s="1"/>
  <c r="I49" i="23"/>
  <c r="J49" i="23"/>
  <c r="K49" i="23" s="1"/>
  <c r="I48" i="23"/>
  <c r="J48" i="23" s="1"/>
  <c r="K48" i="23" s="1"/>
  <c r="I47" i="23"/>
  <c r="J47" i="23" s="1"/>
  <c r="K47" i="23" s="1"/>
  <c r="I46" i="23"/>
  <c r="J46" i="23" s="1"/>
  <c r="K46" i="23" s="1"/>
  <c r="I45" i="23"/>
  <c r="J45" i="23"/>
  <c r="K45" i="23" s="1"/>
  <c r="I44" i="23"/>
  <c r="J44" i="23" s="1"/>
  <c r="K44" i="23" s="1"/>
  <c r="I43" i="23"/>
  <c r="J43" i="23" s="1"/>
  <c r="K43" i="23" s="1"/>
  <c r="I42" i="23"/>
  <c r="J42" i="23"/>
  <c r="K42" i="23" s="1"/>
  <c r="I41" i="23"/>
  <c r="J41" i="23"/>
  <c r="K41" i="23" s="1"/>
  <c r="I40" i="23"/>
  <c r="J40" i="23" s="1"/>
  <c r="K40" i="23" s="1"/>
  <c r="I39" i="23"/>
  <c r="J39" i="23" s="1"/>
  <c r="K39" i="23" s="1"/>
  <c r="I38" i="23"/>
  <c r="J38" i="23"/>
  <c r="K38" i="23" s="1"/>
  <c r="I37" i="23"/>
  <c r="J37" i="23" s="1"/>
  <c r="K37" i="23" s="1"/>
  <c r="I36" i="23"/>
  <c r="J36" i="23"/>
  <c r="K36" i="23" s="1"/>
  <c r="I35" i="23"/>
  <c r="J35" i="23" s="1"/>
  <c r="K35" i="23" s="1"/>
  <c r="I34" i="23"/>
  <c r="J34" i="23" s="1"/>
  <c r="K34" i="23" s="1"/>
  <c r="I33" i="23"/>
  <c r="J33" i="23"/>
  <c r="K33" i="23" s="1"/>
  <c r="I32" i="23"/>
  <c r="J32" i="23"/>
  <c r="K32" i="23" s="1"/>
  <c r="I31" i="23"/>
  <c r="J31" i="23"/>
  <c r="K31" i="23" s="1"/>
  <c r="I30" i="23"/>
  <c r="J30" i="23" s="1"/>
  <c r="K30" i="23" s="1"/>
  <c r="I29" i="23"/>
  <c r="J29" i="23" s="1"/>
  <c r="K29" i="23" s="1"/>
  <c r="I28" i="23"/>
  <c r="J28" i="23"/>
  <c r="K28" i="23" s="1"/>
  <c r="I27" i="23"/>
  <c r="J27" i="23" s="1"/>
  <c r="K27" i="23" s="1"/>
  <c r="I26" i="23"/>
  <c r="J26" i="23" s="1"/>
  <c r="K26" i="23" s="1"/>
  <c r="I25" i="23"/>
  <c r="J25" i="23"/>
  <c r="K25" i="23" s="1"/>
  <c r="I24" i="23"/>
  <c r="J24" i="23"/>
  <c r="K24" i="23" s="1"/>
  <c r="I23" i="23"/>
  <c r="J23" i="23" s="1"/>
  <c r="K23" i="23" s="1"/>
  <c r="I22" i="23"/>
  <c r="J22" i="23" s="1"/>
  <c r="K22" i="23" s="1"/>
  <c r="I21" i="23"/>
  <c r="J21" i="23" s="1"/>
  <c r="K21" i="23" s="1"/>
  <c r="I20" i="23"/>
  <c r="J20" i="23"/>
  <c r="K20" i="23" s="1"/>
  <c r="I19" i="23"/>
  <c r="J19" i="23"/>
  <c r="K19" i="23" s="1"/>
  <c r="I18" i="23"/>
  <c r="J18" i="23" s="1"/>
  <c r="K18" i="23" s="1"/>
  <c r="I17" i="23"/>
  <c r="J17" i="23" s="1"/>
  <c r="K17" i="23" s="1"/>
  <c r="I16" i="23"/>
  <c r="J16" i="23" s="1"/>
  <c r="K16" i="23" s="1"/>
  <c r="I15" i="23"/>
  <c r="J15" i="23" s="1"/>
  <c r="K15" i="23" s="1"/>
  <c r="I14" i="23"/>
  <c r="J14" i="23" s="1"/>
  <c r="K14" i="23" s="1"/>
  <c r="I13" i="23"/>
  <c r="J13" i="23"/>
  <c r="K13" i="23" s="1"/>
  <c r="I12" i="23"/>
  <c r="J12" i="23" s="1"/>
  <c r="K12" i="23" s="1"/>
  <c r="I11" i="23"/>
  <c r="J11" i="23" s="1"/>
  <c r="K11" i="23" s="1"/>
  <c r="I10" i="23"/>
  <c r="J10" i="23" s="1"/>
  <c r="K10" i="23" s="1"/>
  <c r="I9" i="23"/>
  <c r="J9" i="23" s="1"/>
  <c r="K9" i="23" s="1"/>
  <c r="I8" i="23"/>
  <c r="J8" i="23" s="1"/>
  <c r="K8" i="23" s="1"/>
  <c r="T7" i="23"/>
  <c r="T8" i="23" s="1"/>
  <c r="T9" i="23" s="1"/>
  <c r="T10" i="23" s="1"/>
  <c r="T11" i="23" s="1"/>
  <c r="T12" i="23" s="1"/>
  <c r="T13" i="23" s="1"/>
  <c r="T14" i="23" s="1"/>
  <c r="T15" i="23" s="1"/>
  <c r="T16" i="23" s="1"/>
  <c r="T17" i="23" s="1"/>
  <c r="T18" i="23" s="1"/>
  <c r="T19" i="23" s="1"/>
  <c r="T20" i="23" s="1"/>
  <c r="T21" i="23" s="1"/>
  <c r="T22" i="23" s="1"/>
  <c r="T23" i="23" s="1"/>
  <c r="T24" i="23" s="1"/>
  <c r="T25" i="23" s="1"/>
  <c r="T26" i="23" s="1"/>
  <c r="T27" i="23" s="1"/>
  <c r="T28" i="23" s="1"/>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T61" i="23" s="1"/>
  <c r="T62" i="23" s="1"/>
  <c r="T63" i="23" s="1"/>
  <c r="T64" i="23" s="1"/>
  <c r="T65" i="23" s="1"/>
  <c r="T66" i="23" s="1"/>
  <c r="T67" i="23" s="1"/>
  <c r="T68" i="23" s="1"/>
  <c r="T69" i="23" s="1"/>
  <c r="T70" i="23" s="1"/>
  <c r="T71" i="23" s="1"/>
  <c r="T72" i="23" s="1"/>
  <c r="T73" i="23" s="1"/>
  <c r="T74" i="23" s="1"/>
  <c r="T75" i="23" s="1"/>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I7" i="23"/>
  <c r="J7" i="23" s="1"/>
  <c r="K7" i="23" s="1"/>
  <c r="I6" i="23"/>
  <c r="J6" i="23" s="1"/>
  <c r="K6" i="23" s="1"/>
  <c r="L10" i="7" l="1"/>
  <c r="M50" i="7" s="1"/>
  <c r="L10" i="17"/>
  <c r="M90" i="17" s="1"/>
  <c r="K4" i="23"/>
  <c r="P90" i="17" l="1"/>
  <c r="N90" i="17"/>
  <c r="Q90" i="17"/>
  <c r="O90" i="17"/>
  <c r="M76" i="7"/>
  <c r="M44" i="7"/>
  <c r="M37" i="7"/>
  <c r="M13" i="7"/>
  <c r="M28" i="7"/>
  <c r="M91" i="7"/>
  <c r="M86" i="7"/>
  <c r="M83" i="7"/>
  <c r="M75" i="7"/>
  <c r="M27" i="7"/>
  <c r="M54" i="7"/>
  <c r="M101" i="7"/>
  <c r="M74" i="7"/>
  <c r="M19" i="7"/>
  <c r="M22" i="7"/>
  <c r="M77" i="7"/>
  <c r="M66" i="7"/>
  <c r="M78" i="7"/>
  <c r="M14" i="7"/>
  <c r="M45" i="7"/>
  <c r="M42" i="7"/>
  <c r="M70" i="7"/>
  <c r="M100" i="7"/>
  <c r="M20" i="7"/>
  <c r="M93" i="7"/>
  <c r="M29" i="7"/>
  <c r="M59" i="7"/>
  <c r="M58" i="7"/>
  <c r="M62" i="7"/>
  <c r="M84" i="7"/>
  <c r="M99" i="7"/>
  <c r="M85" i="7"/>
  <c r="M21" i="7"/>
  <c r="M43" i="7"/>
  <c r="M97" i="7"/>
  <c r="M73" i="7"/>
  <c r="M65" i="7"/>
  <c r="M49" i="7"/>
  <c r="M33" i="7"/>
  <c r="M25" i="7"/>
  <c r="M96" i="7"/>
  <c r="M72" i="7"/>
  <c r="M56" i="7"/>
  <c r="M32" i="7"/>
  <c r="M95" i="7"/>
  <c r="M71" i="7"/>
  <c r="M63" i="7"/>
  <c r="M47" i="7"/>
  <c r="M39" i="7"/>
  <c r="M15" i="7"/>
  <c r="M81" i="7"/>
  <c r="M57" i="7"/>
  <c r="M17" i="7"/>
  <c r="M80" i="7"/>
  <c r="M64" i="7"/>
  <c r="M48" i="7"/>
  <c r="M24" i="7"/>
  <c r="M87" i="7"/>
  <c r="M55" i="7"/>
  <c r="M31" i="7"/>
  <c r="M89" i="7"/>
  <c r="M41" i="7"/>
  <c r="M88" i="7"/>
  <c r="M40" i="7"/>
  <c r="M16" i="7"/>
  <c r="M79" i="7"/>
  <c r="M23" i="7"/>
  <c r="M68" i="7"/>
  <c r="M69" i="7"/>
  <c r="M34" i="7"/>
  <c r="M102" i="7"/>
  <c r="M38" i="7"/>
  <c r="M60" i="7"/>
  <c r="M51" i="7"/>
  <c r="M61" i="7"/>
  <c r="M36" i="7"/>
  <c r="M90" i="7"/>
  <c r="M26" i="7"/>
  <c r="M46" i="7"/>
  <c r="M67" i="7"/>
  <c r="M92" i="7"/>
  <c r="M98" i="7"/>
  <c r="M94" i="7"/>
  <c r="M30" i="7"/>
  <c r="M52" i="7"/>
  <c r="M35" i="7"/>
  <c r="M53" i="7"/>
  <c r="M12" i="7"/>
  <c r="M82" i="7"/>
  <c r="M18" i="7"/>
  <c r="M35" i="17"/>
  <c r="M19" i="17"/>
  <c r="M54" i="17"/>
  <c r="M98" i="17"/>
  <c r="M93" i="17"/>
  <c r="M18" i="17"/>
  <c r="M70" i="17"/>
  <c r="M85" i="17"/>
  <c r="M55" i="17"/>
  <c r="M62" i="17"/>
  <c r="M21" i="17"/>
  <c r="M39" i="17"/>
  <c r="M60" i="17"/>
  <c r="M68" i="17"/>
  <c r="M67" i="17"/>
  <c r="M101" i="17"/>
  <c r="M52" i="17"/>
  <c r="M47" i="17"/>
  <c r="M37" i="17"/>
  <c r="M82" i="17"/>
  <c r="M59" i="17"/>
  <c r="M29" i="17"/>
  <c r="M20" i="17"/>
  <c r="M43" i="17"/>
  <c r="M77" i="17"/>
  <c r="M27" i="17"/>
  <c r="M102" i="17"/>
  <c r="M38" i="17"/>
  <c r="M69" i="17"/>
  <c r="M100" i="17"/>
  <c r="M36" i="17"/>
  <c r="M34" i="17"/>
  <c r="M87" i="17"/>
  <c r="M23" i="17"/>
  <c r="M12" i="17"/>
  <c r="M81" i="17"/>
  <c r="M65" i="17"/>
  <c r="M33" i="17"/>
  <c r="M88" i="17"/>
  <c r="M48" i="17"/>
  <c r="M16" i="17"/>
  <c r="M73" i="17"/>
  <c r="M41" i="17"/>
  <c r="M72" i="17"/>
  <c r="M32" i="17"/>
  <c r="M89" i="17"/>
  <c r="M57" i="17"/>
  <c r="M25" i="17"/>
  <c r="M96" i="17"/>
  <c r="M64" i="17"/>
  <c r="M40" i="17"/>
  <c r="M97" i="17"/>
  <c r="M49" i="17"/>
  <c r="M17" i="17"/>
  <c r="M80" i="17"/>
  <c r="M56" i="17"/>
  <c r="M24" i="17"/>
  <c r="M13" i="17"/>
  <c r="M58" i="17"/>
  <c r="M95" i="17"/>
  <c r="M94" i="17"/>
  <c r="M30" i="17"/>
  <c r="M61" i="17"/>
  <c r="M92" i="17"/>
  <c r="M28" i="17"/>
  <c r="M99" i="17"/>
  <c r="M79" i="17"/>
  <c r="M15" i="17"/>
  <c r="M66" i="17"/>
  <c r="M46" i="17"/>
  <c r="M44" i="17"/>
  <c r="M31" i="17"/>
  <c r="M86" i="17"/>
  <c r="M22" i="17"/>
  <c r="M53" i="17"/>
  <c r="M84" i="17"/>
  <c r="M83" i="17"/>
  <c r="M74" i="17"/>
  <c r="M71" i="17"/>
  <c r="M91" i="17"/>
  <c r="M50" i="17"/>
  <c r="M78" i="17"/>
  <c r="M14" i="17"/>
  <c r="M45" i="17"/>
  <c r="M76" i="17"/>
  <c r="M51" i="17"/>
  <c r="M42" i="17"/>
  <c r="M63" i="17"/>
  <c r="M75" i="17"/>
  <c r="M26" i="17"/>
  <c r="L6" i="23"/>
  <c r="M6" i="23" s="1"/>
  <c r="L82" i="23"/>
  <c r="L26" i="23"/>
  <c r="Q26" i="23" s="1"/>
  <c r="L96" i="23"/>
  <c r="L64" i="23"/>
  <c r="L56" i="23"/>
  <c r="R56" i="23" s="1"/>
  <c r="L48" i="23"/>
  <c r="R48" i="23" s="1"/>
  <c r="L24" i="23"/>
  <c r="P24" i="23" s="1"/>
  <c r="L16" i="23"/>
  <c r="Q16" i="23" s="1"/>
  <c r="L71" i="23"/>
  <c r="L78" i="23"/>
  <c r="L62" i="23"/>
  <c r="L54" i="23"/>
  <c r="L46" i="23"/>
  <c r="P46" i="23" s="1"/>
  <c r="L22" i="23"/>
  <c r="O22" i="23" s="1"/>
  <c r="L90" i="23"/>
  <c r="L66" i="23"/>
  <c r="L58" i="23"/>
  <c r="R58" i="23" s="1"/>
  <c r="L34" i="23"/>
  <c r="M34" i="23" s="1"/>
  <c r="L10" i="23"/>
  <c r="L80" i="23"/>
  <c r="L32" i="23"/>
  <c r="L95" i="23"/>
  <c r="L55" i="23"/>
  <c r="M55" i="23" s="1"/>
  <c r="L39" i="23"/>
  <c r="M39" i="23" s="1"/>
  <c r="L23" i="23"/>
  <c r="L7" i="23"/>
  <c r="P7" i="23" s="1"/>
  <c r="L86" i="23"/>
  <c r="L30" i="23"/>
  <c r="N30" i="23" s="1"/>
  <c r="L98" i="23"/>
  <c r="L74" i="23"/>
  <c r="L50" i="23"/>
  <c r="R50" i="23" s="1"/>
  <c r="L42" i="23"/>
  <c r="Q42" i="23" s="1"/>
  <c r="L18" i="23"/>
  <c r="Q18" i="23" s="1"/>
  <c r="L88" i="23"/>
  <c r="L40" i="23"/>
  <c r="L8" i="23"/>
  <c r="M8" i="23" s="1"/>
  <c r="L87" i="23"/>
  <c r="L63" i="23"/>
  <c r="L47" i="23"/>
  <c r="L31" i="23"/>
  <c r="M31" i="23" s="1"/>
  <c r="L15" i="23"/>
  <c r="N15" i="23" s="1"/>
  <c r="L94" i="23"/>
  <c r="L38" i="23"/>
  <c r="R38" i="23" s="1"/>
  <c r="L14" i="23"/>
  <c r="M14" i="23" s="1"/>
  <c r="L72" i="23"/>
  <c r="L79" i="23"/>
  <c r="L70" i="23"/>
  <c r="L101" i="23"/>
  <c r="L37" i="23"/>
  <c r="R37" i="23" s="1"/>
  <c r="L68" i="23"/>
  <c r="L65" i="23"/>
  <c r="L93" i="23"/>
  <c r="L29" i="23"/>
  <c r="M29" i="23" s="1"/>
  <c r="L60" i="23"/>
  <c r="L57" i="23"/>
  <c r="R57" i="23" s="1"/>
  <c r="L85" i="23"/>
  <c r="L19" i="23"/>
  <c r="L77" i="23"/>
  <c r="L41" i="23"/>
  <c r="R41" i="23" s="1"/>
  <c r="L69" i="23"/>
  <c r="L100" i="23"/>
  <c r="L36" i="23"/>
  <c r="O36" i="23" s="1"/>
  <c r="L67" i="23"/>
  <c r="L97" i="23"/>
  <c r="L33" i="23"/>
  <c r="R33" i="23" s="1"/>
  <c r="L99" i="23"/>
  <c r="L91" i="23"/>
  <c r="L83" i="23"/>
  <c r="L44" i="23"/>
  <c r="N44" i="23" s="1"/>
  <c r="L61" i="23"/>
  <c r="L92" i="23"/>
  <c r="L28" i="23"/>
  <c r="N28" i="23" s="1"/>
  <c r="L59" i="23"/>
  <c r="O59" i="23" s="1"/>
  <c r="L89" i="23"/>
  <c r="L25" i="23"/>
  <c r="R25" i="23" s="1"/>
  <c r="L35" i="23"/>
  <c r="L27" i="23"/>
  <c r="L52" i="23"/>
  <c r="N52" i="23" s="1"/>
  <c r="L75" i="23"/>
  <c r="L53" i="23"/>
  <c r="L84" i="23"/>
  <c r="L20" i="23"/>
  <c r="P20" i="23" s="1"/>
  <c r="L51" i="23"/>
  <c r="L81" i="23"/>
  <c r="L17" i="23"/>
  <c r="N17" i="23" s="1"/>
  <c r="L21" i="23"/>
  <c r="Q21" i="23" s="1"/>
  <c r="L49" i="23"/>
  <c r="L13" i="23"/>
  <c r="L11" i="23"/>
  <c r="Q11" i="23" s="1"/>
  <c r="L45" i="23"/>
  <c r="O45" i="23" s="1"/>
  <c r="L76" i="23"/>
  <c r="L12" i="23"/>
  <c r="Q12" i="23" s="1"/>
  <c r="L43" i="23"/>
  <c r="L73" i="23"/>
  <c r="L9" i="23"/>
  <c r="R9" i="23" s="1"/>
  <c r="M16" i="23" l="1"/>
  <c r="N99" i="17"/>
  <c r="Q99" i="17"/>
  <c r="P99" i="17"/>
  <c r="O99" i="17"/>
  <c r="N73" i="17"/>
  <c r="Q73" i="17"/>
  <c r="P73" i="17"/>
  <c r="O73" i="17"/>
  <c r="N75" i="17"/>
  <c r="P75" i="17"/>
  <c r="Q75" i="17"/>
  <c r="O75" i="17"/>
  <c r="P86" i="17"/>
  <c r="N86" i="17"/>
  <c r="Q86" i="17"/>
  <c r="O86" i="17"/>
  <c r="P96" i="17"/>
  <c r="O96" i="17"/>
  <c r="Q96" i="17"/>
  <c r="N96" i="17"/>
  <c r="N87" i="17"/>
  <c r="P87" i="17"/>
  <c r="Q87" i="17"/>
  <c r="O87" i="17"/>
  <c r="N77" i="17"/>
  <c r="Q77" i="17"/>
  <c r="P77" i="17"/>
  <c r="O77" i="17"/>
  <c r="N91" i="17"/>
  <c r="Q91" i="17"/>
  <c r="P91" i="17"/>
  <c r="O91" i="17"/>
  <c r="P92" i="17"/>
  <c r="O92" i="17"/>
  <c r="Q92" i="17"/>
  <c r="N92" i="17"/>
  <c r="N101" i="17"/>
  <c r="P101" i="17"/>
  <c r="O101" i="17"/>
  <c r="Q101" i="17"/>
  <c r="N85" i="17"/>
  <c r="Q85" i="17"/>
  <c r="P85" i="17"/>
  <c r="O85" i="17"/>
  <c r="P78" i="17"/>
  <c r="N78" i="17"/>
  <c r="Q78" i="17"/>
  <c r="O78" i="17"/>
  <c r="N71" i="17"/>
  <c r="P71" i="17"/>
  <c r="Q71" i="17"/>
  <c r="O71" i="17"/>
  <c r="N67" i="17"/>
  <c r="P67" i="17"/>
  <c r="Q67" i="17"/>
  <c r="O67" i="17"/>
  <c r="P74" i="17"/>
  <c r="Q74" i="17"/>
  <c r="O74" i="17"/>
  <c r="N74" i="17"/>
  <c r="N89" i="17"/>
  <c r="Q89" i="17"/>
  <c r="P89" i="17"/>
  <c r="O89" i="17"/>
  <c r="P100" i="17"/>
  <c r="Q100" i="17"/>
  <c r="O100" i="17"/>
  <c r="N100" i="17"/>
  <c r="P68" i="17"/>
  <c r="O68" i="17"/>
  <c r="N68" i="17"/>
  <c r="Q68" i="17"/>
  <c r="P76" i="17"/>
  <c r="O76" i="17"/>
  <c r="Q76" i="17"/>
  <c r="N76" i="17"/>
  <c r="N83" i="17"/>
  <c r="P83" i="17"/>
  <c r="Q83" i="17"/>
  <c r="O83" i="17"/>
  <c r="P66" i="17"/>
  <c r="Q66" i="17"/>
  <c r="O66" i="17"/>
  <c r="N66" i="17"/>
  <c r="P94" i="17"/>
  <c r="N94" i="17"/>
  <c r="Q94" i="17"/>
  <c r="O94" i="17"/>
  <c r="N69" i="17"/>
  <c r="Q69" i="17"/>
  <c r="P69" i="17"/>
  <c r="O69" i="17"/>
  <c r="N93" i="17"/>
  <c r="P93" i="17"/>
  <c r="Q93" i="17"/>
  <c r="O93" i="17"/>
  <c r="P80" i="17"/>
  <c r="O80" i="17"/>
  <c r="Q80" i="17"/>
  <c r="N80" i="17"/>
  <c r="P88" i="17"/>
  <c r="O88" i="17"/>
  <c r="Q88" i="17"/>
  <c r="N88" i="17"/>
  <c r="P70" i="17"/>
  <c r="Q70" i="17"/>
  <c r="O70" i="17"/>
  <c r="N70" i="17"/>
  <c r="P84" i="17"/>
  <c r="O84" i="17"/>
  <c r="Q84" i="17"/>
  <c r="N84" i="17"/>
  <c r="N95" i="17"/>
  <c r="Q95" i="17"/>
  <c r="P95" i="17"/>
  <c r="O95" i="17"/>
  <c r="N97" i="17"/>
  <c r="P97" i="17"/>
  <c r="O97" i="17"/>
  <c r="Q97" i="17"/>
  <c r="P72" i="17"/>
  <c r="O72" i="17"/>
  <c r="N72" i="17"/>
  <c r="Q72" i="17"/>
  <c r="N81" i="17"/>
  <c r="Q81" i="17"/>
  <c r="P81" i="17"/>
  <c r="O81" i="17"/>
  <c r="P82" i="17"/>
  <c r="N82" i="17"/>
  <c r="Q82" i="17"/>
  <c r="O82" i="17"/>
  <c r="P98" i="17"/>
  <c r="N98" i="17"/>
  <c r="Q98" i="17"/>
  <c r="O98" i="17"/>
  <c r="N79" i="17"/>
  <c r="P79" i="17"/>
  <c r="Q79" i="17"/>
  <c r="O79" i="17"/>
  <c r="P102" i="17"/>
  <c r="O102" i="17"/>
  <c r="N102" i="17"/>
  <c r="Q102" i="17"/>
  <c r="M11" i="7"/>
  <c r="O38" i="23"/>
  <c r="Q45" i="23"/>
  <c r="P16" i="23"/>
  <c r="M26" i="23"/>
  <c r="P39" i="23"/>
  <c r="P8" i="23"/>
  <c r="N39" i="23"/>
  <c r="Q44" i="23"/>
  <c r="R26" i="23"/>
  <c r="R7" i="23"/>
  <c r="N29" i="23"/>
  <c r="N34" i="23"/>
  <c r="O41" i="23"/>
  <c r="O56" i="23"/>
  <c r="M46" i="23"/>
  <c r="M56" i="23"/>
  <c r="Q29" i="23"/>
  <c r="M17" i="23"/>
  <c r="Q56" i="23"/>
  <c r="N46" i="23"/>
  <c r="R17" i="23"/>
  <c r="P36" i="23"/>
  <c r="Q20" i="23"/>
  <c r="M48" i="23"/>
  <c r="N26" i="23"/>
  <c r="N36" i="23"/>
  <c r="R52" i="23"/>
  <c r="M44" i="23"/>
  <c r="O48" i="23"/>
  <c r="P26" i="23"/>
  <c r="Q48" i="23"/>
  <c r="Q46" i="23"/>
  <c r="O44" i="23"/>
  <c r="P29" i="23"/>
  <c r="P17" i="23"/>
  <c r="M20" i="23"/>
  <c r="N7" i="23"/>
  <c r="O29" i="23"/>
  <c r="O17" i="23"/>
  <c r="O20" i="23"/>
  <c r="Q17" i="23"/>
  <c r="R34" i="23"/>
  <c r="M52" i="23"/>
  <c r="M21" i="23"/>
  <c r="P55" i="23"/>
  <c r="N56" i="23"/>
  <c r="O26" i="23"/>
  <c r="P52" i="23"/>
  <c r="P21" i="23"/>
  <c r="R46" i="23"/>
  <c r="Q34" i="23"/>
  <c r="P44" i="23"/>
  <c r="O55" i="23"/>
  <c r="R21" i="23"/>
  <c r="P56" i="23"/>
  <c r="P22" i="23"/>
  <c r="O46" i="23"/>
  <c r="R29" i="23"/>
  <c r="R36" i="23"/>
  <c r="R44" i="23"/>
  <c r="Q24" i="23"/>
  <c r="N22" i="23"/>
  <c r="Q36" i="23"/>
  <c r="N20" i="23"/>
  <c r="R22" i="23"/>
  <c r="P34" i="23"/>
  <c r="R24" i="23"/>
  <c r="P42" i="23"/>
  <c r="M58" i="23"/>
  <c r="O42" i="23"/>
  <c r="R42" i="23"/>
  <c r="N57" i="23"/>
  <c r="N42" i="23"/>
  <c r="O21" i="23"/>
  <c r="P6" i="23"/>
  <c r="O28" i="23"/>
  <c r="O11" i="23"/>
  <c r="N6" i="23"/>
  <c r="Q6" i="23"/>
  <c r="R31" i="23"/>
  <c r="M28" i="23"/>
  <c r="M57" i="23"/>
  <c r="O6" i="23"/>
  <c r="Q39" i="23"/>
  <c r="R6" i="23"/>
  <c r="Q28" i="23"/>
  <c r="M59" i="23"/>
  <c r="M50" i="23"/>
  <c r="M41" i="23"/>
  <c r="R39" i="23"/>
  <c r="N31" i="23"/>
  <c r="N16" i="23"/>
  <c r="Q25" i="23"/>
  <c r="N25" i="23"/>
  <c r="O30" i="23"/>
  <c r="Q38" i="23"/>
  <c r="M45" i="23"/>
  <c r="P25" i="23"/>
  <c r="P41" i="23"/>
  <c r="Q41" i="23"/>
  <c r="R20" i="23"/>
  <c r="Q55" i="23"/>
  <c r="M7" i="23"/>
  <c r="O12" i="23"/>
  <c r="N45" i="23"/>
  <c r="O25" i="23"/>
  <c r="N41" i="23"/>
  <c r="M42" i="23"/>
  <c r="O52" i="23"/>
  <c r="M36" i="23"/>
  <c r="Q8" i="23"/>
  <c r="Q22" i="23"/>
  <c r="Q52" i="23"/>
  <c r="R28" i="23"/>
  <c r="N55" i="23"/>
  <c r="P58" i="23"/>
  <c r="N38" i="23"/>
  <c r="R12" i="23"/>
  <c r="P9" i="23"/>
  <c r="P12" i="23"/>
  <c r="M30" i="23"/>
  <c r="Q14" i="23"/>
  <c r="M25" i="23"/>
  <c r="P30" i="23"/>
  <c r="R18" i="23"/>
  <c r="O34" i="23"/>
  <c r="Q7" i="23"/>
  <c r="O7" i="23"/>
  <c r="Q84" i="23"/>
  <c r="R84" i="23"/>
  <c r="M37" i="23"/>
  <c r="Q37" i="23"/>
  <c r="M11" i="23"/>
  <c r="R11" i="23"/>
  <c r="N58" i="23"/>
  <c r="R49" i="23"/>
  <c r="P49" i="23"/>
  <c r="M49" i="23"/>
  <c r="N49" i="23"/>
  <c r="Q49" i="23"/>
  <c r="O49" i="23"/>
  <c r="R75" i="23"/>
  <c r="Q75" i="23"/>
  <c r="R92" i="23"/>
  <c r="Q92" i="23"/>
  <c r="Q67" i="23"/>
  <c r="R67" i="23"/>
  <c r="Q70" i="23"/>
  <c r="R70" i="23"/>
  <c r="P47" i="23"/>
  <c r="O47" i="23"/>
  <c r="M47" i="23"/>
  <c r="Q47" i="23"/>
  <c r="N47" i="23"/>
  <c r="R47" i="23"/>
  <c r="R90" i="23"/>
  <c r="Q90" i="23"/>
  <c r="P11" i="23"/>
  <c r="M33" i="23"/>
  <c r="Q30" i="23"/>
  <c r="M15" i="23"/>
  <c r="R14" i="23"/>
  <c r="O24" i="23"/>
  <c r="P14" i="23"/>
  <c r="N12" i="23"/>
  <c r="P57" i="23"/>
  <c r="O9" i="23"/>
  <c r="N9" i="23"/>
  <c r="Q73" i="23"/>
  <c r="R73" i="23"/>
  <c r="R61" i="23"/>
  <c r="Q61" i="23"/>
  <c r="Q60" i="23"/>
  <c r="R60" i="23"/>
  <c r="R79" i="23"/>
  <c r="Q79" i="23"/>
  <c r="R63" i="23"/>
  <c r="Q63" i="23"/>
  <c r="R74" i="23"/>
  <c r="Q74" i="23"/>
  <c r="R95" i="23"/>
  <c r="Q95" i="23"/>
  <c r="O8" i="23"/>
  <c r="N48" i="23"/>
  <c r="O39" i="23"/>
  <c r="M18" i="23"/>
  <c r="M22" i="23"/>
  <c r="N33" i="23"/>
  <c r="N21" i="23"/>
  <c r="R30" i="23"/>
  <c r="N14" i="23"/>
  <c r="Q31" i="23"/>
  <c r="Q59" i="23"/>
  <c r="O58" i="23"/>
  <c r="O31" i="23"/>
  <c r="O57" i="23"/>
  <c r="P50" i="23"/>
  <c r="P37" i="23"/>
  <c r="Q43" i="23"/>
  <c r="M43" i="23"/>
  <c r="P43" i="23"/>
  <c r="N43" i="23"/>
  <c r="R43" i="23"/>
  <c r="O43" i="23"/>
  <c r="O27" i="23"/>
  <c r="N27" i="23"/>
  <c r="R27" i="23"/>
  <c r="M27" i="23"/>
  <c r="Q27" i="23"/>
  <c r="P27" i="23"/>
  <c r="R100" i="23"/>
  <c r="Q100" i="23"/>
  <c r="Q72" i="23"/>
  <c r="R72" i="23"/>
  <c r="R87" i="23"/>
  <c r="Q87" i="23"/>
  <c r="R98" i="23"/>
  <c r="Q98" i="23"/>
  <c r="O32" i="23"/>
  <c r="R32" i="23"/>
  <c r="M32" i="23"/>
  <c r="Q32" i="23"/>
  <c r="P32" i="23"/>
  <c r="N32" i="23"/>
  <c r="Q19" i="23"/>
  <c r="P19" i="23"/>
  <c r="O19" i="23"/>
  <c r="R19" i="23"/>
  <c r="N19" i="23"/>
  <c r="M19" i="23"/>
  <c r="P23" i="23"/>
  <c r="Q23" i="23"/>
  <c r="M23" i="23"/>
  <c r="R23" i="23"/>
  <c r="O23" i="23"/>
  <c r="N23" i="23"/>
  <c r="R71" i="23"/>
  <c r="Q71" i="23"/>
  <c r="N18" i="23"/>
  <c r="P33" i="23"/>
  <c r="R59" i="23"/>
  <c r="O15" i="23"/>
  <c r="Q9" i="23"/>
  <c r="R81" i="23"/>
  <c r="Q81" i="23"/>
  <c r="M35" i="23"/>
  <c r="P35" i="23"/>
  <c r="O35" i="23"/>
  <c r="N35" i="23"/>
  <c r="R35" i="23"/>
  <c r="Q35" i="23"/>
  <c r="R83" i="23"/>
  <c r="Q83" i="23"/>
  <c r="R69" i="23"/>
  <c r="Q69" i="23"/>
  <c r="Q93" i="23"/>
  <c r="R93" i="23"/>
  <c r="R80" i="23"/>
  <c r="Q80" i="23"/>
  <c r="R54" i="23"/>
  <c r="Q54" i="23"/>
  <c r="P54" i="23"/>
  <c r="O54" i="23"/>
  <c r="M54" i="23"/>
  <c r="N54" i="23"/>
  <c r="R64" i="23"/>
  <c r="Q64" i="23"/>
  <c r="N8" i="23"/>
  <c r="P18" i="23"/>
  <c r="O33" i="23"/>
  <c r="R8" i="23"/>
  <c r="Q33" i="23"/>
  <c r="P59" i="23"/>
  <c r="M24" i="23"/>
  <c r="P31" i="23"/>
  <c r="N59" i="23"/>
  <c r="R15" i="23"/>
  <c r="P28" i="23"/>
  <c r="Q57" i="23"/>
  <c r="O37" i="23"/>
  <c r="Q50" i="23"/>
  <c r="Q76" i="23"/>
  <c r="R76" i="23"/>
  <c r="R51" i="23"/>
  <c r="O51" i="23"/>
  <c r="N51" i="23"/>
  <c r="Q51" i="23"/>
  <c r="P51" i="23"/>
  <c r="M51" i="23"/>
  <c r="R91" i="23"/>
  <c r="Q91" i="23"/>
  <c r="Q65" i="23"/>
  <c r="R65" i="23"/>
  <c r="Q40" i="23"/>
  <c r="R40" i="23"/>
  <c r="O40" i="23"/>
  <c r="N40" i="23"/>
  <c r="P40" i="23"/>
  <c r="M40" i="23"/>
  <c r="Q86" i="23"/>
  <c r="R86" i="23"/>
  <c r="Q10" i="23"/>
  <c r="N10" i="23"/>
  <c r="R10" i="23"/>
  <c r="P10" i="23"/>
  <c r="O10" i="23"/>
  <c r="M10" i="23"/>
  <c r="Q62" i="23"/>
  <c r="R62" i="23"/>
  <c r="Q96" i="23"/>
  <c r="R96" i="23"/>
  <c r="P48" i="23"/>
  <c r="O18" i="23"/>
  <c r="Q58" i="23"/>
  <c r="R55" i="23"/>
  <c r="P38" i="23"/>
  <c r="N24" i="23"/>
  <c r="Q15" i="23"/>
  <c r="M38" i="23"/>
  <c r="M12" i="23"/>
  <c r="M9" i="23"/>
  <c r="N50" i="23"/>
  <c r="O50" i="23"/>
  <c r="R45" i="23"/>
  <c r="P45" i="23"/>
  <c r="R89" i="23"/>
  <c r="Q89" i="23"/>
  <c r="R99" i="23"/>
  <c r="Q99" i="23"/>
  <c r="Q77" i="23"/>
  <c r="R77" i="23"/>
  <c r="Q68" i="23"/>
  <c r="R68" i="23"/>
  <c r="R94" i="23"/>
  <c r="Q94" i="23"/>
  <c r="R88" i="23"/>
  <c r="Q88" i="23"/>
  <c r="Q78" i="23"/>
  <c r="R78" i="23"/>
  <c r="R82" i="23"/>
  <c r="Q82" i="23"/>
  <c r="N11" i="23"/>
  <c r="P15" i="23"/>
  <c r="O14" i="23"/>
  <c r="N37" i="23"/>
  <c r="P13" i="23"/>
  <c r="O13" i="23"/>
  <c r="M13" i="23"/>
  <c r="Q13" i="23"/>
  <c r="R13" i="23"/>
  <c r="N13" i="23"/>
  <c r="R53" i="23"/>
  <c r="M53" i="23"/>
  <c r="Q53" i="23"/>
  <c r="O53" i="23"/>
  <c r="N53" i="23"/>
  <c r="P53" i="23"/>
  <c r="R97" i="23"/>
  <c r="Q97" i="23"/>
  <c r="Q85" i="23"/>
  <c r="R85" i="23"/>
  <c r="Q101" i="23"/>
  <c r="R101" i="23"/>
  <c r="R66" i="23"/>
  <c r="Q66" i="23"/>
  <c r="R16" i="23"/>
  <c r="O16" i="23"/>
  <c r="L5" i="23"/>
  <c r="R4" i="23" l="1"/>
  <c r="AA5" i="23" s="1"/>
  <c r="O4" i="23"/>
  <c r="X5" i="23" s="1"/>
  <c r="P4" i="23"/>
  <c r="Y5" i="23" s="1"/>
  <c r="M4" i="23"/>
  <c r="V5" i="23" s="1"/>
  <c r="Q4" i="23"/>
  <c r="Z5" i="23" s="1"/>
  <c r="N4" i="23"/>
  <c r="W5" i="23" s="1"/>
  <c r="AI106" i="9" l="1"/>
  <c r="AI105" i="9"/>
  <c r="AI104" i="9"/>
  <c r="AI103" i="9"/>
  <c r="AI102" i="9"/>
  <c r="AI101" i="9"/>
  <c r="AI100" i="9"/>
  <c r="AI99" i="9"/>
  <c r="AI98" i="9"/>
  <c r="AI97" i="9"/>
  <c r="AI96" i="9"/>
  <c r="AI95" i="9"/>
  <c r="AI94" i="9"/>
  <c r="AI93" i="9"/>
  <c r="AI92" i="9"/>
  <c r="AI91" i="9"/>
  <c r="AI90" i="9"/>
  <c r="AI89" i="9"/>
  <c r="AI88" i="9"/>
  <c r="AI87" i="9"/>
  <c r="AI86" i="9"/>
  <c r="AI85" i="9"/>
  <c r="AI84" i="9"/>
  <c r="AI83" i="9"/>
  <c r="AI82" i="9"/>
  <c r="AI81" i="9"/>
  <c r="AI80" i="9"/>
  <c r="AI79" i="9"/>
  <c r="AI78" i="9"/>
  <c r="AI77" i="9"/>
  <c r="AI76" i="9"/>
  <c r="AI75" i="9"/>
  <c r="AI74" i="9"/>
  <c r="AI73" i="9"/>
  <c r="AI72" i="9"/>
  <c r="AI71" i="9"/>
  <c r="AI70" i="9"/>
  <c r="AI69" i="9"/>
  <c r="AI68" i="9"/>
  <c r="AI67" i="9"/>
  <c r="AI66" i="9"/>
  <c r="AI65" i="9"/>
  <c r="AI64" i="9"/>
  <c r="AI63" i="9"/>
  <c r="AI62" i="9"/>
  <c r="AI61" i="9"/>
  <c r="AI60" i="9"/>
  <c r="AI59" i="9"/>
  <c r="AI58" i="9"/>
  <c r="AI57" i="9"/>
  <c r="AI56" i="9"/>
  <c r="AI55" i="9"/>
  <c r="AI54" i="9"/>
  <c r="AI53" i="9"/>
  <c r="AI52" i="9"/>
  <c r="AI51" i="9"/>
  <c r="AI50" i="9"/>
  <c r="AI49" i="9"/>
  <c r="AI48" i="9"/>
  <c r="AI47" i="9"/>
  <c r="AI46" i="9"/>
  <c r="AI45" i="9"/>
  <c r="AI44" i="9"/>
  <c r="AI43" i="9"/>
  <c r="AI42" i="9"/>
  <c r="AI41" i="9"/>
  <c r="AI40" i="9"/>
  <c r="AI39" i="9"/>
  <c r="AI38" i="9"/>
  <c r="AI37" i="9"/>
  <c r="AI36" i="9"/>
  <c r="AI35" i="9"/>
  <c r="AI34" i="9"/>
  <c r="AI33" i="9"/>
  <c r="AI32" i="9"/>
  <c r="AI31" i="9"/>
  <c r="AI30" i="9"/>
  <c r="AI29" i="9"/>
  <c r="AI28" i="9"/>
  <c r="AI27" i="9"/>
  <c r="AI26" i="9"/>
  <c r="AI25" i="9"/>
  <c r="AI24" i="9"/>
  <c r="AI23" i="9"/>
  <c r="AI22" i="9"/>
  <c r="AI21" i="9"/>
  <c r="AI20" i="9"/>
  <c r="AI19" i="9"/>
  <c r="AI18" i="9"/>
  <c r="AI17" i="9"/>
  <c r="AI16" i="9"/>
  <c r="AI15" i="9"/>
  <c r="AI14" i="9"/>
  <c r="AI13" i="9"/>
  <c r="AI12" i="9"/>
  <c r="AI11" i="9"/>
  <c r="AI10" i="9"/>
  <c r="AI9" i="9"/>
  <c r="AI8" i="9"/>
  <c r="AI7" i="9"/>
  <c r="AI6" i="9"/>
  <c r="AI5" i="9"/>
  <c r="E13" i="1"/>
  <c r="AG101" i="22" s="1"/>
  <c r="AE106" i="22"/>
  <c r="H105" i="9" s="1"/>
  <c r="E105" i="8" s="1"/>
  <c r="F105" i="8" s="1"/>
  <c r="AD106" i="22"/>
  <c r="I105" i="9" s="1"/>
  <c r="AE105" i="22"/>
  <c r="H104" i="9" s="1"/>
  <c r="E104" i="8" s="1"/>
  <c r="F104" i="8" s="1"/>
  <c r="AD105" i="22"/>
  <c r="I104" i="9" s="1"/>
  <c r="AE104" i="22"/>
  <c r="H103" i="9" s="1"/>
  <c r="E103" i="8" s="1"/>
  <c r="F103" i="8" s="1"/>
  <c r="AD104" i="22"/>
  <c r="I103" i="9" s="1"/>
  <c r="AE103" i="22"/>
  <c r="H102" i="9" s="1"/>
  <c r="E102" i="8" s="1"/>
  <c r="F102" i="8" s="1"/>
  <c r="AD103" i="22"/>
  <c r="I102" i="9" s="1"/>
  <c r="AE102" i="22"/>
  <c r="H101" i="9" s="1"/>
  <c r="E101" i="8" s="1"/>
  <c r="F101" i="8" s="1"/>
  <c r="AD102" i="22"/>
  <c r="I101" i="9" s="1"/>
  <c r="AE101" i="22"/>
  <c r="H100" i="9" s="1"/>
  <c r="E100" i="8" s="1"/>
  <c r="F100" i="8" s="1"/>
  <c r="AD101" i="22"/>
  <c r="I100" i="9" s="1"/>
  <c r="AE100" i="22"/>
  <c r="H99" i="9" s="1"/>
  <c r="E99" i="8" s="1"/>
  <c r="F99" i="8" s="1"/>
  <c r="AD100" i="22"/>
  <c r="I99" i="9" s="1"/>
  <c r="AE99" i="22"/>
  <c r="H98" i="9" s="1"/>
  <c r="E98" i="8" s="1"/>
  <c r="F98" i="8" s="1"/>
  <c r="AD99" i="22"/>
  <c r="I98" i="9" s="1"/>
  <c r="AE98" i="22"/>
  <c r="H97" i="9" s="1"/>
  <c r="E97" i="8" s="1"/>
  <c r="F97" i="8" s="1"/>
  <c r="AD98" i="22"/>
  <c r="I97" i="9" s="1"/>
  <c r="AE97" i="22"/>
  <c r="H96" i="9" s="1"/>
  <c r="E96" i="8" s="1"/>
  <c r="F96" i="8" s="1"/>
  <c r="AD97" i="22"/>
  <c r="I96" i="9" s="1"/>
  <c r="AE96" i="22"/>
  <c r="H95" i="9" s="1"/>
  <c r="E95" i="8" s="1"/>
  <c r="F95" i="8" s="1"/>
  <c r="AD96" i="22"/>
  <c r="I95" i="9" s="1"/>
  <c r="AE95" i="22"/>
  <c r="H94" i="9" s="1"/>
  <c r="E94" i="8" s="1"/>
  <c r="F94" i="8" s="1"/>
  <c r="AD95" i="22"/>
  <c r="I94" i="9" s="1"/>
  <c r="AE94" i="22"/>
  <c r="H93" i="9" s="1"/>
  <c r="E93" i="8" s="1"/>
  <c r="F93" i="8" s="1"/>
  <c r="AD94" i="22"/>
  <c r="I93" i="9" s="1"/>
  <c r="AE93" i="22"/>
  <c r="H92" i="9" s="1"/>
  <c r="E92" i="8" s="1"/>
  <c r="F92" i="8" s="1"/>
  <c r="AD93" i="22"/>
  <c r="I92" i="9" s="1"/>
  <c r="AE92" i="22"/>
  <c r="H91" i="9" s="1"/>
  <c r="E91" i="8" s="1"/>
  <c r="F91" i="8" s="1"/>
  <c r="AD92" i="22"/>
  <c r="I91" i="9" s="1"/>
  <c r="AE91" i="22"/>
  <c r="H90" i="9" s="1"/>
  <c r="E90" i="8" s="1"/>
  <c r="F90" i="8" s="1"/>
  <c r="AD91" i="22"/>
  <c r="I90" i="9" s="1"/>
  <c r="AE90" i="22"/>
  <c r="H89" i="9" s="1"/>
  <c r="E89" i="8" s="1"/>
  <c r="F89" i="8" s="1"/>
  <c r="AD90" i="22"/>
  <c r="I89" i="9" s="1"/>
  <c r="AE89" i="22"/>
  <c r="H88" i="9" s="1"/>
  <c r="E88" i="8" s="1"/>
  <c r="F88" i="8" s="1"/>
  <c r="AD89" i="22"/>
  <c r="I88" i="9" s="1"/>
  <c r="AE88" i="22"/>
  <c r="H87" i="9" s="1"/>
  <c r="E87" i="8" s="1"/>
  <c r="F87" i="8" s="1"/>
  <c r="AD88" i="22"/>
  <c r="I87" i="9" s="1"/>
  <c r="AE87" i="22"/>
  <c r="H86" i="9" s="1"/>
  <c r="E86" i="8" s="1"/>
  <c r="F86" i="8" s="1"/>
  <c r="AD87" i="22"/>
  <c r="I86" i="9" s="1"/>
  <c r="AE86" i="22"/>
  <c r="H85" i="9" s="1"/>
  <c r="E85" i="8" s="1"/>
  <c r="F85" i="8" s="1"/>
  <c r="AD86" i="22"/>
  <c r="I85" i="9" s="1"/>
  <c r="AE85" i="22"/>
  <c r="H84" i="9" s="1"/>
  <c r="E84" i="8" s="1"/>
  <c r="F84" i="8" s="1"/>
  <c r="AD85" i="22"/>
  <c r="C84" i="12" s="1"/>
  <c r="AE84" i="22"/>
  <c r="H83" i="9" s="1"/>
  <c r="E83" i="8" s="1"/>
  <c r="F83" i="8" s="1"/>
  <c r="AD84" i="22"/>
  <c r="I83" i="9" s="1"/>
  <c r="AE83" i="22"/>
  <c r="H82" i="9" s="1"/>
  <c r="E82" i="8" s="1"/>
  <c r="F82" i="8" s="1"/>
  <c r="AD83" i="22"/>
  <c r="I82" i="9" s="1"/>
  <c r="AE82" i="22"/>
  <c r="H81" i="9" s="1"/>
  <c r="E81" i="8" s="1"/>
  <c r="F81" i="8" s="1"/>
  <c r="AD82" i="22"/>
  <c r="I81" i="9" s="1"/>
  <c r="AE81" i="22"/>
  <c r="H80" i="9" s="1"/>
  <c r="E80" i="8" s="1"/>
  <c r="F80" i="8" s="1"/>
  <c r="AD81" i="22"/>
  <c r="I80" i="9" s="1"/>
  <c r="AE80" i="22"/>
  <c r="H79" i="9" s="1"/>
  <c r="E79" i="8" s="1"/>
  <c r="F79" i="8" s="1"/>
  <c r="AD80" i="22"/>
  <c r="I79" i="9" s="1"/>
  <c r="AE79" i="22"/>
  <c r="H78" i="9" s="1"/>
  <c r="E78" i="8" s="1"/>
  <c r="F78" i="8" s="1"/>
  <c r="AD79" i="22"/>
  <c r="I78" i="9" s="1"/>
  <c r="AE78" i="22"/>
  <c r="H77" i="9" s="1"/>
  <c r="E77" i="8" s="1"/>
  <c r="F77" i="8" s="1"/>
  <c r="AD78" i="22"/>
  <c r="I77" i="9" s="1"/>
  <c r="AE77" i="22"/>
  <c r="H76" i="9" s="1"/>
  <c r="E76" i="8" s="1"/>
  <c r="F76" i="8" s="1"/>
  <c r="AD77" i="22"/>
  <c r="I76" i="9" s="1"/>
  <c r="AE76" i="22"/>
  <c r="H75" i="9" s="1"/>
  <c r="E75" i="8" s="1"/>
  <c r="F75" i="8" s="1"/>
  <c r="AD76" i="22"/>
  <c r="I75" i="9" s="1"/>
  <c r="AE75" i="22"/>
  <c r="H74" i="9" s="1"/>
  <c r="E74" i="8" s="1"/>
  <c r="F74" i="8" s="1"/>
  <c r="AD75" i="22"/>
  <c r="I74" i="9" s="1"/>
  <c r="AE74" i="22"/>
  <c r="H73" i="9" s="1"/>
  <c r="E73" i="8" s="1"/>
  <c r="F73" i="8" s="1"/>
  <c r="AD74" i="22"/>
  <c r="I73" i="9" s="1"/>
  <c r="AE73" i="22"/>
  <c r="H72" i="9" s="1"/>
  <c r="E72" i="8" s="1"/>
  <c r="F72" i="8" s="1"/>
  <c r="AD73" i="22"/>
  <c r="I72" i="9" s="1"/>
  <c r="AE72" i="22"/>
  <c r="H71" i="9" s="1"/>
  <c r="E71" i="8" s="1"/>
  <c r="F71" i="8" s="1"/>
  <c r="AD72" i="22"/>
  <c r="I71" i="9" s="1"/>
  <c r="AE71" i="22"/>
  <c r="H70" i="9" s="1"/>
  <c r="E70" i="8" s="1"/>
  <c r="F70" i="8" s="1"/>
  <c r="AD71" i="22"/>
  <c r="I70" i="9" s="1"/>
  <c r="AE70" i="22"/>
  <c r="H69" i="9" s="1"/>
  <c r="E69" i="8" s="1"/>
  <c r="F69" i="8" s="1"/>
  <c r="AD70" i="22"/>
  <c r="I69" i="9" s="1"/>
  <c r="AE69" i="22"/>
  <c r="H68" i="9" s="1"/>
  <c r="E68" i="8" s="1"/>
  <c r="F68" i="8" s="1"/>
  <c r="AD69" i="22"/>
  <c r="I68" i="9" s="1"/>
  <c r="AE68" i="22"/>
  <c r="H67" i="9" s="1"/>
  <c r="E67" i="8" s="1"/>
  <c r="F67" i="8" s="1"/>
  <c r="AD68" i="22"/>
  <c r="I67" i="9" s="1"/>
  <c r="AE67" i="22"/>
  <c r="H66" i="9" s="1"/>
  <c r="E66" i="8" s="1"/>
  <c r="F66" i="8" s="1"/>
  <c r="AD67" i="22"/>
  <c r="I66" i="9" s="1"/>
  <c r="AE66" i="22"/>
  <c r="H65" i="9" s="1"/>
  <c r="E65" i="8" s="1"/>
  <c r="F65" i="8" s="1"/>
  <c r="AD66" i="22"/>
  <c r="I65" i="9" s="1"/>
  <c r="AE65" i="22"/>
  <c r="H64" i="9" s="1"/>
  <c r="E64" i="8" s="1"/>
  <c r="F64" i="8" s="1"/>
  <c r="AD65" i="22"/>
  <c r="I64" i="9" s="1"/>
  <c r="AE64" i="22"/>
  <c r="H63" i="9" s="1"/>
  <c r="E63" i="8" s="1"/>
  <c r="F63" i="8" s="1"/>
  <c r="AD64" i="22"/>
  <c r="I63" i="9" s="1"/>
  <c r="AE63" i="22"/>
  <c r="H62" i="9" s="1"/>
  <c r="E62" i="8" s="1"/>
  <c r="F62" i="8" s="1"/>
  <c r="AD63" i="22"/>
  <c r="I62" i="9" s="1"/>
  <c r="AE62" i="22"/>
  <c r="H61" i="9" s="1"/>
  <c r="E61" i="8" s="1"/>
  <c r="F61" i="8" s="1"/>
  <c r="AD62" i="22"/>
  <c r="I61" i="9" s="1"/>
  <c r="AE61" i="22"/>
  <c r="H60" i="9" s="1"/>
  <c r="E60" i="8" s="1"/>
  <c r="F60" i="8" s="1"/>
  <c r="AD61" i="22"/>
  <c r="I60" i="9" s="1"/>
  <c r="AE60" i="22"/>
  <c r="C59" i="11" s="1"/>
  <c r="AD60" i="22"/>
  <c r="I59" i="9" s="1"/>
  <c r="AE59" i="22"/>
  <c r="H58" i="9" s="1"/>
  <c r="E58" i="8" s="1"/>
  <c r="F58" i="8" s="1"/>
  <c r="AD59" i="22"/>
  <c r="I58" i="9" s="1"/>
  <c r="AE58" i="22"/>
  <c r="H57" i="9" s="1"/>
  <c r="E57" i="8" s="1"/>
  <c r="F57" i="8" s="1"/>
  <c r="AD58" i="22"/>
  <c r="I57" i="9" s="1"/>
  <c r="AE57" i="22"/>
  <c r="H56" i="9" s="1"/>
  <c r="E56" i="8" s="1"/>
  <c r="F56" i="8" s="1"/>
  <c r="AD57" i="22"/>
  <c r="I56" i="9" s="1"/>
  <c r="AE56" i="22"/>
  <c r="H55" i="9" s="1"/>
  <c r="E55" i="8" s="1"/>
  <c r="F55" i="8" s="1"/>
  <c r="AD56" i="22"/>
  <c r="I55" i="9" s="1"/>
  <c r="AE55" i="22"/>
  <c r="H54" i="9" s="1"/>
  <c r="E54" i="8" s="1"/>
  <c r="F54" i="8" s="1"/>
  <c r="AD55" i="22"/>
  <c r="I54" i="9" s="1"/>
  <c r="AE54" i="22"/>
  <c r="H53" i="9" s="1"/>
  <c r="E53" i="8" s="1"/>
  <c r="F53" i="8" s="1"/>
  <c r="AD54" i="22"/>
  <c r="I53" i="9" s="1"/>
  <c r="AE53" i="22"/>
  <c r="H52" i="9" s="1"/>
  <c r="E52" i="8" s="1"/>
  <c r="F52" i="8" s="1"/>
  <c r="AD53" i="22"/>
  <c r="I52" i="9" s="1"/>
  <c r="AE52" i="22"/>
  <c r="H51" i="9" s="1"/>
  <c r="E51" i="8" s="1"/>
  <c r="F51" i="8" s="1"/>
  <c r="AD52" i="22"/>
  <c r="I51" i="9" s="1"/>
  <c r="AE51" i="22"/>
  <c r="H50" i="9" s="1"/>
  <c r="E50" i="8" s="1"/>
  <c r="F50" i="8" s="1"/>
  <c r="AD51" i="22"/>
  <c r="I50" i="9" s="1"/>
  <c r="AE50" i="22"/>
  <c r="H49" i="9" s="1"/>
  <c r="E49" i="8" s="1"/>
  <c r="F49" i="8" s="1"/>
  <c r="AD50" i="22"/>
  <c r="I49" i="9" s="1"/>
  <c r="AE49" i="22"/>
  <c r="H48" i="9" s="1"/>
  <c r="E48" i="8" s="1"/>
  <c r="F48" i="8" s="1"/>
  <c r="AD49" i="22"/>
  <c r="I48" i="9" s="1"/>
  <c r="AE48" i="22"/>
  <c r="H47" i="9" s="1"/>
  <c r="E47" i="8" s="1"/>
  <c r="F47" i="8" s="1"/>
  <c r="AD48" i="22"/>
  <c r="B47" i="11" s="1"/>
  <c r="AE47" i="22"/>
  <c r="H46" i="9" s="1"/>
  <c r="E46" i="8" s="1"/>
  <c r="F46" i="8" s="1"/>
  <c r="AD47" i="22"/>
  <c r="I46" i="9" s="1"/>
  <c r="AE46" i="22"/>
  <c r="H45" i="9" s="1"/>
  <c r="E45" i="8" s="1"/>
  <c r="F45" i="8" s="1"/>
  <c r="AD46" i="22"/>
  <c r="I45" i="9" s="1"/>
  <c r="AE45" i="22"/>
  <c r="H44" i="9" s="1"/>
  <c r="E44" i="8" s="1"/>
  <c r="F44" i="8" s="1"/>
  <c r="AD45" i="22"/>
  <c r="I44" i="9" s="1"/>
  <c r="AE44" i="22"/>
  <c r="H43" i="9" s="1"/>
  <c r="E43" i="8" s="1"/>
  <c r="F43" i="8" s="1"/>
  <c r="AD44" i="22"/>
  <c r="I43" i="9" s="1"/>
  <c r="AE43" i="22"/>
  <c r="H42" i="9" s="1"/>
  <c r="E42" i="8" s="1"/>
  <c r="F42" i="8" s="1"/>
  <c r="AD43" i="22"/>
  <c r="I42" i="9" s="1"/>
  <c r="AE42" i="22"/>
  <c r="H41" i="9" s="1"/>
  <c r="E41" i="8" s="1"/>
  <c r="F41" i="8" s="1"/>
  <c r="AD42" i="22"/>
  <c r="I41" i="9" s="1"/>
  <c r="AE41" i="22"/>
  <c r="H40" i="9" s="1"/>
  <c r="E40" i="8" s="1"/>
  <c r="F40" i="8" s="1"/>
  <c r="AD41" i="22"/>
  <c r="I40" i="9" s="1"/>
  <c r="AE40" i="22"/>
  <c r="H39" i="9" s="1"/>
  <c r="E39" i="8" s="1"/>
  <c r="F39" i="8" s="1"/>
  <c r="AD40" i="22"/>
  <c r="I39" i="9" s="1"/>
  <c r="AE39" i="22"/>
  <c r="H38" i="9" s="1"/>
  <c r="E38" i="8" s="1"/>
  <c r="F38" i="8" s="1"/>
  <c r="AD39" i="22"/>
  <c r="I38" i="9" s="1"/>
  <c r="AE38" i="22"/>
  <c r="H37" i="9" s="1"/>
  <c r="E37" i="8" s="1"/>
  <c r="F37" i="8" s="1"/>
  <c r="AD38" i="22"/>
  <c r="I37" i="9" s="1"/>
  <c r="AE37" i="22"/>
  <c r="H36" i="9" s="1"/>
  <c r="E36" i="8" s="1"/>
  <c r="F36" i="8" s="1"/>
  <c r="AD37" i="22"/>
  <c r="C36" i="12" s="1"/>
  <c r="AE36" i="22"/>
  <c r="C35" i="11" s="1"/>
  <c r="AD36" i="22"/>
  <c r="I35" i="9" s="1"/>
  <c r="AE35" i="22"/>
  <c r="H34" i="9" s="1"/>
  <c r="E34" i="8" s="1"/>
  <c r="F34" i="8" s="1"/>
  <c r="AD35" i="22"/>
  <c r="I34" i="9" s="1"/>
  <c r="AE34" i="22"/>
  <c r="H33" i="9" s="1"/>
  <c r="E33" i="8" s="1"/>
  <c r="F33" i="8" s="1"/>
  <c r="AD34" i="22"/>
  <c r="I33" i="9" s="1"/>
  <c r="AE33" i="22"/>
  <c r="H32" i="9" s="1"/>
  <c r="E32" i="8" s="1"/>
  <c r="F32" i="8" s="1"/>
  <c r="AD33" i="22"/>
  <c r="I32" i="9" s="1"/>
  <c r="AE32" i="22"/>
  <c r="H31" i="9" s="1"/>
  <c r="E31" i="8" s="1"/>
  <c r="F31" i="8" s="1"/>
  <c r="AD32" i="22"/>
  <c r="I31" i="9" s="1"/>
  <c r="AE31" i="22"/>
  <c r="H30" i="9" s="1"/>
  <c r="E30" i="8" s="1"/>
  <c r="F30" i="8" s="1"/>
  <c r="AD31" i="22"/>
  <c r="I30" i="9" s="1"/>
  <c r="AE30" i="22"/>
  <c r="H29" i="9" s="1"/>
  <c r="E29" i="8" s="1"/>
  <c r="F29" i="8" s="1"/>
  <c r="AD30" i="22"/>
  <c r="I29" i="9" s="1"/>
  <c r="AE29" i="22"/>
  <c r="H28" i="9" s="1"/>
  <c r="E28" i="8" s="1"/>
  <c r="F28" i="8" s="1"/>
  <c r="AD29" i="22"/>
  <c r="I28" i="9" s="1"/>
  <c r="AE28" i="22"/>
  <c r="H27" i="9" s="1"/>
  <c r="E27" i="8" s="1"/>
  <c r="F27" i="8" s="1"/>
  <c r="AD28" i="22"/>
  <c r="I27" i="9" s="1"/>
  <c r="AE27" i="22"/>
  <c r="H26" i="9" s="1"/>
  <c r="E26" i="8" s="1"/>
  <c r="F26" i="8" s="1"/>
  <c r="AD27" i="22"/>
  <c r="I26" i="9" s="1"/>
  <c r="AE26" i="22"/>
  <c r="H25" i="9" s="1"/>
  <c r="E25" i="8" s="1"/>
  <c r="F25" i="8" s="1"/>
  <c r="AD26" i="22"/>
  <c r="I25" i="9" s="1"/>
  <c r="AE25" i="22"/>
  <c r="H24" i="9" s="1"/>
  <c r="E24" i="8" s="1"/>
  <c r="F24" i="8" s="1"/>
  <c r="AD25" i="22"/>
  <c r="I24" i="9" s="1"/>
  <c r="AE24" i="22"/>
  <c r="H23" i="9" s="1"/>
  <c r="E23" i="8" s="1"/>
  <c r="F23" i="8" s="1"/>
  <c r="AD24" i="22"/>
  <c r="I23" i="9" s="1"/>
  <c r="AE23" i="22"/>
  <c r="H22" i="9" s="1"/>
  <c r="E22" i="8" s="1"/>
  <c r="F22" i="8" s="1"/>
  <c r="AD23" i="22"/>
  <c r="I22" i="9" s="1"/>
  <c r="AE22" i="22"/>
  <c r="H21" i="9" s="1"/>
  <c r="E21" i="8" s="1"/>
  <c r="F21" i="8" s="1"/>
  <c r="AD22" i="22"/>
  <c r="I21" i="9" s="1"/>
  <c r="AE21" i="22"/>
  <c r="H20" i="9" s="1"/>
  <c r="E20" i="8" s="1"/>
  <c r="F20" i="8" s="1"/>
  <c r="AD21" i="22"/>
  <c r="I20" i="9" s="1"/>
  <c r="AE20" i="22"/>
  <c r="H19" i="9" s="1"/>
  <c r="E19" i="8" s="1"/>
  <c r="F19" i="8" s="1"/>
  <c r="AD20" i="22"/>
  <c r="I19" i="9" s="1"/>
  <c r="AE19" i="22"/>
  <c r="H18" i="9" s="1"/>
  <c r="E18" i="8" s="1"/>
  <c r="F18" i="8" s="1"/>
  <c r="AD19" i="22"/>
  <c r="I18" i="9" s="1"/>
  <c r="AE18" i="22"/>
  <c r="H17" i="9" s="1"/>
  <c r="E17" i="8" s="1"/>
  <c r="F17" i="8" s="1"/>
  <c r="AD18" i="22"/>
  <c r="I17" i="9" s="1"/>
  <c r="AE17" i="22"/>
  <c r="H16" i="9" s="1"/>
  <c r="E16" i="8" s="1"/>
  <c r="F16" i="8" s="1"/>
  <c r="AD17" i="22"/>
  <c r="I16" i="9" s="1"/>
  <c r="AE16" i="22"/>
  <c r="C15" i="11" s="1"/>
  <c r="AD16" i="22"/>
  <c r="I15" i="9" s="1"/>
  <c r="AE15" i="22"/>
  <c r="H14" i="9" s="1"/>
  <c r="E14" i="8" s="1"/>
  <c r="F14" i="8" s="1"/>
  <c r="AD15" i="22"/>
  <c r="I14" i="9" s="1"/>
  <c r="AE14" i="22"/>
  <c r="H13" i="9" s="1"/>
  <c r="E13" i="8" s="1"/>
  <c r="F13" i="8" s="1"/>
  <c r="AD14" i="22"/>
  <c r="I13" i="9" s="1"/>
  <c r="AE13" i="22"/>
  <c r="H12" i="9" s="1"/>
  <c r="E12" i="8" s="1"/>
  <c r="F12" i="8" s="1"/>
  <c r="AD13" i="22"/>
  <c r="I12" i="9" s="1"/>
  <c r="AE12" i="22"/>
  <c r="H11" i="9" s="1"/>
  <c r="E11" i="8" s="1"/>
  <c r="F11" i="8" s="1"/>
  <c r="AD12" i="22"/>
  <c r="I11" i="9" s="1"/>
  <c r="AE11" i="22"/>
  <c r="H10" i="9" s="1"/>
  <c r="E10" i="8" s="1"/>
  <c r="F10" i="8" s="1"/>
  <c r="AD11" i="22"/>
  <c r="I10" i="9" s="1"/>
  <c r="AE10" i="22"/>
  <c r="H9" i="9" s="1"/>
  <c r="E9" i="8" s="1"/>
  <c r="F9" i="8" s="1"/>
  <c r="AD10" i="22"/>
  <c r="I9" i="9" s="1"/>
  <c r="AE9" i="22"/>
  <c r="C8" i="11" s="1"/>
  <c r="AD9" i="22"/>
  <c r="I8" i="9" s="1"/>
  <c r="AE8" i="22"/>
  <c r="H7" i="9" s="1"/>
  <c r="E7" i="8" s="1"/>
  <c r="F7" i="8" s="1"/>
  <c r="AD8" i="22"/>
  <c r="I7" i="9" s="1"/>
  <c r="AE7" i="22"/>
  <c r="H6" i="9" s="1"/>
  <c r="E6" i="8" s="1"/>
  <c r="F6" i="8" s="1"/>
  <c r="AD7" i="22"/>
  <c r="I6" i="9" s="1"/>
  <c r="D13" i="1"/>
  <c r="AF69" i="22" s="1"/>
  <c r="AE68" i="9" s="1"/>
  <c r="AE6" i="22"/>
  <c r="H5" i="9" s="1"/>
  <c r="AD6" i="22"/>
  <c r="I5" i="9" s="1"/>
  <c r="I101" i="22"/>
  <c r="J101" i="22" s="1"/>
  <c r="I100" i="22"/>
  <c r="J100" i="22" s="1"/>
  <c r="I99" i="22"/>
  <c r="J99" i="22" s="1"/>
  <c r="I98" i="22"/>
  <c r="J98" i="22" s="1"/>
  <c r="I97" i="22"/>
  <c r="J97" i="22" s="1"/>
  <c r="I96" i="22"/>
  <c r="J96" i="22" s="1"/>
  <c r="I95" i="22"/>
  <c r="J95" i="22" s="1"/>
  <c r="I94" i="22"/>
  <c r="J94" i="22" s="1"/>
  <c r="I93" i="22"/>
  <c r="J93" i="22" s="1"/>
  <c r="I92" i="22"/>
  <c r="J92" i="22" s="1"/>
  <c r="I91" i="22"/>
  <c r="J91" i="22" s="1"/>
  <c r="I90" i="22"/>
  <c r="J90" i="22" s="1"/>
  <c r="I89" i="22"/>
  <c r="J89" i="22" s="1"/>
  <c r="I88" i="22"/>
  <c r="J88" i="22" s="1"/>
  <c r="I87" i="22"/>
  <c r="J87" i="22" s="1"/>
  <c r="I86" i="22"/>
  <c r="J86" i="22" s="1"/>
  <c r="I85" i="22"/>
  <c r="J85" i="22" s="1"/>
  <c r="I84" i="22"/>
  <c r="J84" i="22" s="1"/>
  <c r="I83" i="22"/>
  <c r="J83" i="22" s="1"/>
  <c r="I82" i="22"/>
  <c r="J82" i="22" s="1"/>
  <c r="I81" i="22"/>
  <c r="J81" i="22" s="1"/>
  <c r="I80" i="22"/>
  <c r="J80" i="22" s="1"/>
  <c r="I79" i="22"/>
  <c r="J79" i="22" s="1"/>
  <c r="I78" i="22"/>
  <c r="J78" i="22" s="1"/>
  <c r="I77" i="22"/>
  <c r="J77" i="22" s="1"/>
  <c r="I76" i="22"/>
  <c r="J76" i="22" s="1"/>
  <c r="I75" i="22"/>
  <c r="J75" i="22" s="1"/>
  <c r="I74" i="22"/>
  <c r="J74" i="22" s="1"/>
  <c r="I73" i="22"/>
  <c r="J73" i="22" s="1"/>
  <c r="I72" i="22"/>
  <c r="J72" i="22" s="1"/>
  <c r="I71" i="22"/>
  <c r="J71" i="22" s="1"/>
  <c r="I70" i="22"/>
  <c r="J70" i="22" s="1"/>
  <c r="I69" i="22"/>
  <c r="J69" i="22" s="1"/>
  <c r="I68" i="22"/>
  <c r="J68" i="22" s="1"/>
  <c r="I67" i="22"/>
  <c r="J67" i="22" s="1"/>
  <c r="I66" i="22"/>
  <c r="J66" i="22" s="1"/>
  <c r="I65" i="22"/>
  <c r="J65" i="22" s="1"/>
  <c r="I64" i="22"/>
  <c r="J64" i="22" s="1"/>
  <c r="I63" i="22"/>
  <c r="J63" i="22" s="1"/>
  <c r="I62" i="22"/>
  <c r="J62" i="22" s="1"/>
  <c r="I61" i="22"/>
  <c r="J61" i="22" s="1"/>
  <c r="I60" i="22"/>
  <c r="J60" i="22" s="1"/>
  <c r="I59" i="22"/>
  <c r="J59" i="22" s="1"/>
  <c r="I58" i="22"/>
  <c r="J58" i="22" s="1"/>
  <c r="I57" i="22"/>
  <c r="J57" i="22" s="1"/>
  <c r="I56" i="22"/>
  <c r="J56" i="22" s="1"/>
  <c r="I55" i="22"/>
  <c r="J55" i="22" s="1"/>
  <c r="I54" i="22"/>
  <c r="J54" i="22" s="1"/>
  <c r="I53" i="22"/>
  <c r="J53" i="22" s="1"/>
  <c r="I52" i="22"/>
  <c r="J52" i="22" s="1"/>
  <c r="I51" i="22"/>
  <c r="J51" i="22" s="1"/>
  <c r="I50" i="22"/>
  <c r="J50" i="22" s="1"/>
  <c r="I49" i="22"/>
  <c r="J49" i="22" s="1"/>
  <c r="I48" i="22"/>
  <c r="J48" i="22" s="1"/>
  <c r="I47" i="22"/>
  <c r="J47" i="22" s="1"/>
  <c r="I46" i="22"/>
  <c r="J46" i="22" s="1"/>
  <c r="I45" i="22"/>
  <c r="J45" i="22" s="1"/>
  <c r="I44" i="22"/>
  <c r="J44" i="22" s="1"/>
  <c r="I43" i="22"/>
  <c r="J43" i="22" s="1"/>
  <c r="I42" i="22"/>
  <c r="J42" i="22" s="1"/>
  <c r="I41" i="22"/>
  <c r="J41" i="22" s="1"/>
  <c r="I40" i="22"/>
  <c r="J40" i="22" s="1"/>
  <c r="I39" i="22"/>
  <c r="J39" i="22" s="1"/>
  <c r="I38" i="22"/>
  <c r="J38" i="22" s="1"/>
  <c r="I37" i="22"/>
  <c r="J37" i="22" s="1"/>
  <c r="I36" i="22"/>
  <c r="J36" i="22" s="1"/>
  <c r="I35" i="22"/>
  <c r="J35" i="22" s="1"/>
  <c r="I34" i="22"/>
  <c r="J34" i="22" s="1"/>
  <c r="I33" i="22"/>
  <c r="J33" i="22" s="1"/>
  <c r="I32" i="22"/>
  <c r="J32" i="22" s="1"/>
  <c r="I31" i="22"/>
  <c r="J31" i="22" s="1"/>
  <c r="I30" i="22"/>
  <c r="J30" i="22" s="1"/>
  <c r="I29" i="22"/>
  <c r="J29" i="22" s="1"/>
  <c r="I28" i="22"/>
  <c r="J28" i="22" s="1"/>
  <c r="I27" i="22"/>
  <c r="J27" i="22" s="1"/>
  <c r="I26" i="22"/>
  <c r="J26" i="22" s="1"/>
  <c r="I25" i="22"/>
  <c r="J25" i="22" s="1"/>
  <c r="I24" i="22"/>
  <c r="J24" i="22" s="1"/>
  <c r="I23" i="22"/>
  <c r="J23" i="22" s="1"/>
  <c r="I22" i="22"/>
  <c r="J22" i="22" s="1"/>
  <c r="I21" i="22"/>
  <c r="J21" i="22" s="1"/>
  <c r="I20" i="22"/>
  <c r="J20" i="22" s="1"/>
  <c r="I19" i="22"/>
  <c r="J19" i="22" s="1"/>
  <c r="I18" i="22"/>
  <c r="J18" i="22" s="1"/>
  <c r="I17" i="22"/>
  <c r="J17" i="22" s="1"/>
  <c r="I16" i="22"/>
  <c r="J16" i="22" s="1"/>
  <c r="I15" i="22"/>
  <c r="J15" i="22" s="1"/>
  <c r="I14" i="22"/>
  <c r="J14" i="22" s="1"/>
  <c r="I13" i="22"/>
  <c r="J13" i="22" s="1"/>
  <c r="I12" i="22"/>
  <c r="J12" i="22" s="1"/>
  <c r="I11" i="22"/>
  <c r="J11" i="22" s="1"/>
  <c r="I10" i="22"/>
  <c r="J10" i="22" s="1"/>
  <c r="I9" i="22"/>
  <c r="J9" i="22" s="1"/>
  <c r="I8" i="22"/>
  <c r="J8" i="22" s="1"/>
  <c r="I7" i="22"/>
  <c r="J7" i="22" s="1"/>
  <c r="I6" i="22"/>
  <c r="J6" i="22" s="1"/>
  <c r="AE107" i="22"/>
  <c r="H106" i="9" s="1"/>
  <c r="E106" i="8" s="1"/>
  <c r="F106" i="8" s="1"/>
  <c r="AD107" i="22"/>
  <c r="I106" i="9" s="1"/>
  <c r="S7" i="22"/>
  <c r="S8" i="22" s="1"/>
  <c r="S9" i="22" s="1"/>
  <c r="S10" i="22" s="1"/>
  <c r="S11" i="22" s="1"/>
  <c r="S12" i="22" s="1"/>
  <c r="S13" i="22" s="1"/>
  <c r="S14" i="22" s="1"/>
  <c r="S15" i="22" s="1"/>
  <c r="S16" i="22" s="1"/>
  <c r="S17" i="22" s="1"/>
  <c r="S18" i="22" s="1"/>
  <c r="S19" i="22" s="1"/>
  <c r="S20" i="22" s="1"/>
  <c r="S21" i="22" s="1"/>
  <c r="S22" i="22" s="1"/>
  <c r="S23" i="22" s="1"/>
  <c r="S24" i="22" s="1"/>
  <c r="S25" i="22" s="1"/>
  <c r="S26" i="22" s="1"/>
  <c r="S27" i="22" s="1"/>
  <c r="S28" i="22" s="1"/>
  <c r="S29" i="22" s="1"/>
  <c r="S30" i="22" s="1"/>
  <c r="S31" i="22" s="1"/>
  <c r="S32" i="22" s="1"/>
  <c r="S33" i="22" s="1"/>
  <c r="S34" i="22" s="1"/>
  <c r="S35" i="22" s="1"/>
  <c r="S36" i="22" s="1"/>
  <c r="S37" i="22" s="1"/>
  <c r="S38" i="22" s="1"/>
  <c r="S39" i="22" s="1"/>
  <c r="S40" i="22" s="1"/>
  <c r="S41" i="22" s="1"/>
  <c r="S42" i="22" s="1"/>
  <c r="S43" i="22" s="1"/>
  <c r="S44" i="22" s="1"/>
  <c r="S45" i="22" s="1"/>
  <c r="S46" i="22" s="1"/>
  <c r="S47" i="22" s="1"/>
  <c r="S48" i="22" s="1"/>
  <c r="S49" i="22" s="1"/>
  <c r="S50" i="22" s="1"/>
  <c r="S51" i="22" s="1"/>
  <c r="S52" i="22" s="1"/>
  <c r="S53" i="22" s="1"/>
  <c r="S54" i="22" s="1"/>
  <c r="S55" i="22" s="1"/>
  <c r="S56" i="22" s="1"/>
  <c r="S57" i="22" s="1"/>
  <c r="S58" i="22" s="1"/>
  <c r="S59" i="22" s="1"/>
  <c r="S60" i="22" s="1"/>
  <c r="S61" i="22" s="1"/>
  <c r="S62" i="22" s="1"/>
  <c r="S63" i="22" s="1"/>
  <c r="S64" i="22" s="1"/>
  <c r="S65" i="22" s="1"/>
  <c r="S66" i="22" s="1"/>
  <c r="S67" i="22" s="1"/>
  <c r="S68" i="22" s="1"/>
  <c r="S69" i="22" s="1"/>
  <c r="S70" i="22" s="1"/>
  <c r="S71" i="22" s="1"/>
  <c r="S72" i="22" s="1"/>
  <c r="S73" i="22" s="1"/>
  <c r="S74" i="22" s="1"/>
  <c r="S75" i="22" s="1"/>
  <c r="S76" i="22" s="1"/>
  <c r="S77" i="22" s="1"/>
  <c r="S78" i="22" s="1"/>
  <c r="S79" i="22" s="1"/>
  <c r="S80" i="22" s="1"/>
  <c r="S81" i="22" s="1"/>
  <c r="S82" i="22" s="1"/>
  <c r="S83" i="22" s="1"/>
  <c r="S84" i="22" s="1"/>
  <c r="S85" i="22" s="1"/>
  <c r="S86" i="22" s="1"/>
  <c r="S87" i="22" s="1"/>
  <c r="S88" i="22" s="1"/>
  <c r="S89" i="22" s="1"/>
  <c r="S90" i="22" s="1"/>
  <c r="S91" i="22" s="1"/>
  <c r="S92" i="22" s="1"/>
  <c r="S93" i="22" s="1"/>
  <c r="S94" i="22" s="1"/>
  <c r="S95" i="22" s="1"/>
  <c r="S96" i="22" s="1"/>
  <c r="S97" i="22" s="1"/>
  <c r="S98" i="22" s="1"/>
  <c r="S99" i="22" s="1"/>
  <c r="S100" i="22" s="1"/>
  <c r="S101" i="22" s="1"/>
  <c r="S102" i="22" s="1"/>
  <c r="S103" i="22" s="1"/>
  <c r="S104" i="22" s="1"/>
  <c r="S105" i="22" s="1"/>
  <c r="S106" i="22" s="1"/>
  <c r="S107" i="22" s="1"/>
  <c r="AG47" i="22" l="1"/>
  <c r="AN46" i="9" s="1"/>
  <c r="AN100" i="9"/>
  <c r="AE100" i="3"/>
  <c r="AG29" i="22"/>
  <c r="V28" i="12" s="1"/>
  <c r="AG55" i="22"/>
  <c r="V54" i="12" s="1"/>
  <c r="AG19" i="22"/>
  <c r="AF37" i="22"/>
  <c r="AE36" i="9" s="1"/>
  <c r="AG42" i="22"/>
  <c r="V41" i="12" s="1"/>
  <c r="AG24" i="22"/>
  <c r="V23" i="12" s="1"/>
  <c r="AG6" i="22"/>
  <c r="AE5" i="3" s="1"/>
  <c r="AF27" i="22"/>
  <c r="AE26" i="9" s="1"/>
  <c r="AF67" i="22"/>
  <c r="AE66" i="9" s="1"/>
  <c r="AF21" i="22"/>
  <c r="AE20" i="9" s="1"/>
  <c r="AF53" i="22"/>
  <c r="AE52" i="9" s="1"/>
  <c r="AF11" i="22"/>
  <c r="AE10" i="9" s="1"/>
  <c r="AG11" i="22"/>
  <c r="AF43" i="22"/>
  <c r="AE42" i="9" s="1"/>
  <c r="AF73" i="22"/>
  <c r="AE72" i="9" s="1"/>
  <c r="AF63" i="22"/>
  <c r="AE62" i="9" s="1"/>
  <c r="AG58" i="22"/>
  <c r="AG86" i="22"/>
  <c r="AG9" i="22"/>
  <c r="AG32" i="22"/>
  <c r="AG98" i="22"/>
  <c r="AG17" i="22"/>
  <c r="AG22" i="22"/>
  <c r="AG27" i="22"/>
  <c r="AG35" i="22"/>
  <c r="AG40" i="22"/>
  <c r="AG45" i="22"/>
  <c r="AG64" i="22"/>
  <c r="AG75" i="22"/>
  <c r="AG78" i="22"/>
  <c r="AG81" i="22"/>
  <c r="AG7" i="22"/>
  <c r="AG12" i="22"/>
  <c r="AG20" i="22"/>
  <c r="AG25" i="22"/>
  <c r="AG30" i="22"/>
  <c r="AG48" i="22"/>
  <c r="AG59" i="22"/>
  <c r="AG62" i="22"/>
  <c r="AG67" i="22"/>
  <c r="AG70" i="22"/>
  <c r="AG84" i="22"/>
  <c r="AG90" i="22"/>
  <c r="AG96" i="22"/>
  <c r="AG61" i="22"/>
  <c r="AG104" i="22"/>
  <c r="AG15" i="22"/>
  <c r="AG51" i="22"/>
  <c r="AG99" i="22"/>
  <c r="AG18" i="22"/>
  <c r="AG23" i="22"/>
  <c r="AG28" i="22"/>
  <c r="AG36" i="22"/>
  <c r="AG41" i="22"/>
  <c r="AG46" i="22"/>
  <c r="AG54" i="22"/>
  <c r="AG57" i="22"/>
  <c r="AG76" i="22"/>
  <c r="AG82" i="22"/>
  <c r="AG88" i="22"/>
  <c r="AG83" i="22"/>
  <c r="AG89" i="22"/>
  <c r="AG14" i="22"/>
  <c r="AG50" i="22"/>
  <c r="AG107" i="22"/>
  <c r="AG33" i="22"/>
  <c r="AG43" i="22"/>
  <c r="AG102" i="22"/>
  <c r="AG8" i="22"/>
  <c r="AG13" i="22"/>
  <c r="AG26" i="22"/>
  <c r="AG31" i="22"/>
  <c r="AG49" i="22"/>
  <c r="AG68" i="22"/>
  <c r="AG71" i="22"/>
  <c r="AG91" i="22"/>
  <c r="AG94" i="22"/>
  <c r="AG97" i="22"/>
  <c r="AG37" i="22"/>
  <c r="AG92" i="22"/>
  <c r="AG10" i="22"/>
  <c r="AG38" i="22"/>
  <c r="V37" i="12" s="1"/>
  <c r="AG73" i="22"/>
  <c r="AG105" i="22"/>
  <c r="AG16" i="22"/>
  <c r="AG21" i="22"/>
  <c r="AG34" i="22"/>
  <c r="AG39" i="22"/>
  <c r="AG44" i="22"/>
  <c r="AG52" i="22"/>
  <c r="AG63" i="22"/>
  <c r="AG66" i="22"/>
  <c r="AG74" i="22"/>
  <c r="AG80" i="22"/>
  <c r="AG100" i="22"/>
  <c r="AG106" i="22"/>
  <c r="AF9" i="22"/>
  <c r="AE8" i="9" s="1"/>
  <c r="AF25" i="22"/>
  <c r="AE24" i="9" s="1"/>
  <c r="AF41" i="22"/>
  <c r="AE40" i="9" s="1"/>
  <c r="AF55" i="22"/>
  <c r="AE54" i="9" s="1"/>
  <c r="AF7" i="22"/>
  <c r="AE6" i="9" s="1"/>
  <c r="AF23" i="22"/>
  <c r="AE22" i="9" s="1"/>
  <c r="AF39" i="22"/>
  <c r="AE38" i="9" s="1"/>
  <c r="AF65" i="22"/>
  <c r="AE64" i="9" s="1"/>
  <c r="AF19" i="22"/>
  <c r="AE18" i="9" s="1"/>
  <c r="AF35" i="22"/>
  <c r="AE34" i="9" s="1"/>
  <c r="AF51" i="22"/>
  <c r="AE50" i="9" s="1"/>
  <c r="AF61" i="22"/>
  <c r="AE60" i="9" s="1"/>
  <c r="AF17" i="22"/>
  <c r="AE16" i="9" s="1"/>
  <c r="AF33" i="22"/>
  <c r="AE32" i="9" s="1"/>
  <c r="AF49" i="22"/>
  <c r="AE48" i="9" s="1"/>
  <c r="AF71" i="22"/>
  <c r="AE70" i="9" s="1"/>
  <c r="AF15" i="22"/>
  <c r="AE14" i="9" s="1"/>
  <c r="AF31" i="22"/>
  <c r="AE30" i="9" s="1"/>
  <c r="AF47" i="22"/>
  <c r="AE46" i="9" s="1"/>
  <c r="AF59" i="22"/>
  <c r="AE58" i="9" s="1"/>
  <c r="AF13" i="22"/>
  <c r="AE12" i="9" s="1"/>
  <c r="AF29" i="22"/>
  <c r="AE28" i="9" s="1"/>
  <c r="AF45" i="22"/>
  <c r="AE44" i="9" s="1"/>
  <c r="AF57" i="22"/>
  <c r="AE56" i="9" s="1"/>
  <c r="J4" i="22"/>
  <c r="K22" i="22" s="1"/>
  <c r="B37" i="11"/>
  <c r="C63" i="12"/>
  <c r="B102" i="11"/>
  <c r="B105" i="11"/>
  <c r="C7" i="12"/>
  <c r="C68" i="11"/>
  <c r="B99" i="11"/>
  <c r="C48" i="11"/>
  <c r="C53" i="11"/>
  <c r="C14" i="12"/>
  <c r="B9" i="11"/>
  <c r="C23" i="12"/>
  <c r="B59" i="11"/>
  <c r="C28" i="11"/>
  <c r="C92" i="11"/>
  <c r="B13" i="11"/>
  <c r="C39" i="12"/>
  <c r="B62" i="11"/>
  <c r="C32" i="11"/>
  <c r="C93" i="11"/>
  <c r="C80" i="12"/>
  <c r="C64" i="11"/>
  <c r="C46" i="12"/>
  <c r="B81" i="11"/>
  <c r="C44" i="11"/>
  <c r="C96" i="11"/>
  <c r="C83" i="12"/>
  <c r="C22" i="11"/>
  <c r="C56" i="12"/>
  <c r="B82" i="11"/>
  <c r="C46" i="11"/>
  <c r="C88" i="11"/>
  <c r="C64" i="12"/>
  <c r="B38" i="11"/>
  <c r="C15" i="12"/>
  <c r="C47" i="12"/>
  <c r="C70" i="12"/>
  <c r="C86" i="12"/>
  <c r="B17" i="11"/>
  <c r="B41" i="11"/>
  <c r="B65" i="11"/>
  <c r="B83" i="11"/>
  <c r="C69" i="11"/>
  <c r="H8" i="9"/>
  <c r="E8" i="8" s="1"/>
  <c r="F8" i="8" s="1"/>
  <c r="C22" i="12"/>
  <c r="C54" i="12"/>
  <c r="C71" i="12"/>
  <c r="C90" i="12"/>
  <c r="B21" i="11"/>
  <c r="B45" i="11"/>
  <c r="B66" i="11"/>
  <c r="B86" i="11"/>
  <c r="C6" i="11"/>
  <c r="C30" i="11"/>
  <c r="C49" i="11"/>
  <c r="C76" i="11"/>
  <c r="C94" i="11"/>
  <c r="C103" i="12"/>
  <c r="H15" i="9"/>
  <c r="E15" i="8" s="1"/>
  <c r="F15" i="8" s="1"/>
  <c r="C94" i="12"/>
  <c r="B22" i="11"/>
  <c r="B49" i="11"/>
  <c r="B89" i="11"/>
  <c r="C77" i="11"/>
  <c r="I47" i="9"/>
  <c r="C30" i="12"/>
  <c r="C58" i="12"/>
  <c r="C74" i="12"/>
  <c r="C95" i="12"/>
  <c r="B25" i="11"/>
  <c r="B53" i="11"/>
  <c r="B73" i="11"/>
  <c r="B90" i="11"/>
  <c r="C12" i="11"/>
  <c r="C33" i="11"/>
  <c r="C54" i="11"/>
  <c r="C80" i="11"/>
  <c r="C97" i="11"/>
  <c r="C24" i="11"/>
  <c r="C72" i="12"/>
  <c r="H59" i="9"/>
  <c r="E59" i="8" s="1"/>
  <c r="F59" i="8" s="1"/>
  <c r="C31" i="12"/>
  <c r="C59" i="12"/>
  <c r="C78" i="12"/>
  <c r="C99" i="12"/>
  <c r="B29" i="11"/>
  <c r="B57" i="11"/>
  <c r="B74" i="11"/>
  <c r="B93" i="11"/>
  <c r="C14" i="11"/>
  <c r="C38" i="11"/>
  <c r="C60" i="11"/>
  <c r="C84" i="11"/>
  <c r="C100" i="11"/>
  <c r="B69" i="11"/>
  <c r="C6" i="12"/>
  <c r="C38" i="12"/>
  <c r="C62" i="12"/>
  <c r="C79" i="12"/>
  <c r="C102" i="12"/>
  <c r="B6" i="11"/>
  <c r="B33" i="11"/>
  <c r="B58" i="11"/>
  <c r="B77" i="11"/>
  <c r="B97" i="11"/>
  <c r="C17" i="11"/>
  <c r="C40" i="11"/>
  <c r="C61" i="11"/>
  <c r="C85" i="11"/>
  <c r="C20" i="11"/>
  <c r="C55" i="12"/>
  <c r="C87" i="12"/>
  <c r="B10" i="11"/>
  <c r="B18" i="11"/>
  <c r="B26" i="11"/>
  <c r="B34" i="11"/>
  <c r="B42" i="11"/>
  <c r="B50" i="11"/>
  <c r="B98" i="11"/>
  <c r="B106" i="11"/>
  <c r="C13" i="11"/>
  <c r="C21" i="11"/>
  <c r="C29" i="11"/>
  <c r="C37" i="11"/>
  <c r="C45" i="11"/>
  <c r="C101" i="11"/>
  <c r="H35" i="9"/>
  <c r="E35" i="8" s="1"/>
  <c r="F35" i="8" s="1"/>
  <c r="C8" i="12"/>
  <c r="C16" i="12"/>
  <c r="C24" i="12"/>
  <c r="C32" i="12"/>
  <c r="C40" i="12"/>
  <c r="C48" i="12"/>
  <c r="C88" i="12"/>
  <c r="C96" i="12"/>
  <c r="C104" i="12"/>
  <c r="B11" i="11"/>
  <c r="B19" i="11"/>
  <c r="B27" i="11"/>
  <c r="B35" i="11"/>
  <c r="B43" i="11"/>
  <c r="B51" i="11"/>
  <c r="B67" i="11"/>
  <c r="B75" i="11"/>
  <c r="B91" i="11"/>
  <c r="C62" i="11"/>
  <c r="C70" i="11"/>
  <c r="C78" i="11"/>
  <c r="C86" i="11"/>
  <c r="C102" i="11"/>
  <c r="I36" i="9"/>
  <c r="C9" i="12"/>
  <c r="C17" i="12"/>
  <c r="C25" i="12"/>
  <c r="C33" i="12"/>
  <c r="C41" i="12"/>
  <c r="C49" i="12"/>
  <c r="C57" i="12"/>
  <c r="C65" i="12"/>
  <c r="C73" i="12"/>
  <c r="C81" i="12"/>
  <c r="C89" i="12"/>
  <c r="C97" i="12"/>
  <c r="C105" i="12"/>
  <c r="B12" i="11"/>
  <c r="B20" i="11"/>
  <c r="B28" i="11"/>
  <c r="B36" i="11"/>
  <c r="B44" i="11"/>
  <c r="B52" i="11"/>
  <c r="B60" i="11"/>
  <c r="B68" i="11"/>
  <c r="B76" i="11"/>
  <c r="B84" i="11"/>
  <c r="B92" i="11"/>
  <c r="B100" i="11"/>
  <c r="C7" i="11"/>
  <c r="C23" i="11"/>
  <c r="C31" i="11"/>
  <c r="C39" i="11"/>
  <c r="C47" i="11"/>
  <c r="C55" i="11"/>
  <c r="C63" i="11"/>
  <c r="C71" i="11"/>
  <c r="C79" i="11"/>
  <c r="C87" i="11"/>
  <c r="C95" i="11"/>
  <c r="C103" i="11"/>
  <c r="C36" i="11"/>
  <c r="C18" i="12"/>
  <c r="C34" i="12"/>
  <c r="C50" i="12"/>
  <c r="C66" i="12"/>
  <c r="C82" i="12"/>
  <c r="C98" i="12"/>
  <c r="B61" i="11"/>
  <c r="B101" i="11"/>
  <c r="C16" i="11"/>
  <c r="C56" i="11"/>
  <c r="C72" i="11"/>
  <c r="C104" i="11"/>
  <c r="C19" i="12"/>
  <c r="C43" i="12"/>
  <c r="C67" i="12"/>
  <c r="B14" i="11"/>
  <c r="B30" i="11"/>
  <c r="B46" i="11"/>
  <c r="B70" i="11"/>
  <c r="B94" i="11"/>
  <c r="C65" i="11"/>
  <c r="C81" i="11"/>
  <c r="C105" i="11"/>
  <c r="I84" i="9"/>
  <c r="C12" i="12"/>
  <c r="C20" i="12"/>
  <c r="C28" i="12"/>
  <c r="C44" i="12"/>
  <c r="C52" i="12"/>
  <c r="C60" i="12"/>
  <c r="C68" i="12"/>
  <c r="C76" i="12"/>
  <c r="C92" i="12"/>
  <c r="C100" i="12"/>
  <c r="C5" i="11"/>
  <c r="B7" i="11"/>
  <c r="B15" i="11"/>
  <c r="B23" i="11"/>
  <c r="B31" i="11"/>
  <c r="B39" i="11"/>
  <c r="B55" i="11"/>
  <c r="B63" i="11"/>
  <c r="B71" i="11"/>
  <c r="B79" i="11"/>
  <c r="B87" i="11"/>
  <c r="B95" i="11"/>
  <c r="B103" i="11"/>
  <c r="C10" i="11"/>
  <c r="C18" i="11"/>
  <c r="C26" i="11"/>
  <c r="C34" i="11"/>
  <c r="C42" i="11"/>
  <c r="C50" i="11"/>
  <c r="C58" i="11"/>
  <c r="C66" i="11"/>
  <c r="C74" i="11"/>
  <c r="C82" i="11"/>
  <c r="C90" i="11"/>
  <c r="C98" i="11"/>
  <c r="C106" i="11"/>
  <c r="C52" i="11"/>
  <c r="C10" i="12"/>
  <c r="C26" i="12"/>
  <c r="C42" i="12"/>
  <c r="C106" i="12"/>
  <c r="B85" i="11"/>
  <c r="C11" i="12"/>
  <c r="C27" i="12"/>
  <c r="C35" i="12"/>
  <c r="C51" i="12"/>
  <c r="C75" i="12"/>
  <c r="C91" i="12"/>
  <c r="B5" i="11"/>
  <c r="B54" i="11"/>
  <c r="B78" i="11"/>
  <c r="C9" i="11"/>
  <c r="C25" i="11"/>
  <c r="C41" i="11"/>
  <c r="C57" i="11"/>
  <c r="C73" i="11"/>
  <c r="C89" i="11"/>
  <c r="C5" i="12"/>
  <c r="C13" i="12"/>
  <c r="C21" i="12"/>
  <c r="C29" i="12"/>
  <c r="C37" i="12"/>
  <c r="C45" i="12"/>
  <c r="C53" i="12"/>
  <c r="C61" i="12"/>
  <c r="C69" i="12"/>
  <c r="C77" i="12"/>
  <c r="C85" i="12"/>
  <c r="C93" i="12"/>
  <c r="C101" i="12"/>
  <c r="B8" i="11"/>
  <c r="B16" i="11"/>
  <c r="B24" i="11"/>
  <c r="B32" i="11"/>
  <c r="B40" i="11"/>
  <c r="B48" i="11"/>
  <c r="B56" i="11"/>
  <c r="B64" i="11"/>
  <c r="B72" i="11"/>
  <c r="B80" i="11"/>
  <c r="B88" i="11"/>
  <c r="B96" i="11"/>
  <c r="B104" i="11"/>
  <c r="C11" i="11"/>
  <c r="C19" i="11"/>
  <c r="C27" i="11"/>
  <c r="C43" i="11"/>
  <c r="C51" i="11"/>
  <c r="C67" i="11"/>
  <c r="C75" i="11"/>
  <c r="C83" i="11"/>
  <c r="C91" i="11"/>
  <c r="C99" i="11"/>
  <c r="D36" i="12"/>
  <c r="D68" i="12"/>
  <c r="V100" i="12"/>
  <c r="AF107" i="22"/>
  <c r="AG53" i="22"/>
  <c r="AE52" i="3" s="1"/>
  <c r="AG60" i="22"/>
  <c r="AE59" i="3" s="1"/>
  <c r="AG69" i="22"/>
  <c r="AE68" i="3" s="1"/>
  <c r="AG79" i="22"/>
  <c r="AE78" i="3" s="1"/>
  <c r="AG87" i="22"/>
  <c r="AE86" i="3" s="1"/>
  <c r="AG95" i="22"/>
  <c r="AE94" i="3" s="1"/>
  <c r="AG103" i="22"/>
  <c r="AE102" i="3" s="1"/>
  <c r="AG56" i="22"/>
  <c r="AE55" i="3" s="1"/>
  <c r="AG65" i="22"/>
  <c r="AE64" i="3" s="1"/>
  <c r="AG72" i="22"/>
  <c r="AE71" i="3" s="1"/>
  <c r="AG77" i="22"/>
  <c r="AE76" i="3" s="1"/>
  <c r="AG85" i="22"/>
  <c r="AE84" i="3" s="1"/>
  <c r="AG93" i="22"/>
  <c r="AE92" i="3" s="1"/>
  <c r="AF8" i="22"/>
  <c r="AF12" i="22"/>
  <c r="AF16" i="22"/>
  <c r="AF20" i="22"/>
  <c r="AF24" i="22"/>
  <c r="AF28" i="22"/>
  <c r="AF32" i="22"/>
  <c r="AF34" i="22"/>
  <c r="AF36" i="22"/>
  <c r="AF38" i="22"/>
  <c r="AF40" i="22"/>
  <c r="AF42" i="22"/>
  <c r="AF44" i="22"/>
  <c r="AF46" i="22"/>
  <c r="AF48" i="22"/>
  <c r="AF52" i="22"/>
  <c r="AF54" i="22"/>
  <c r="AF56" i="22"/>
  <c r="AF58" i="22"/>
  <c r="AF60" i="22"/>
  <c r="AF62" i="22"/>
  <c r="AF64" i="22"/>
  <c r="AF66" i="22"/>
  <c r="AF68" i="22"/>
  <c r="AF70" i="22"/>
  <c r="AF72" i="22"/>
  <c r="AF74" i="22"/>
  <c r="AF76" i="22"/>
  <c r="AF78" i="22"/>
  <c r="AF80" i="22"/>
  <c r="AF82" i="22"/>
  <c r="AF84" i="22"/>
  <c r="AF86" i="22"/>
  <c r="AF88" i="22"/>
  <c r="AF90" i="22"/>
  <c r="AF92" i="22"/>
  <c r="AF94" i="22"/>
  <c r="AF96" i="22"/>
  <c r="AF98" i="22"/>
  <c r="AF100" i="22"/>
  <c r="AF102" i="22"/>
  <c r="AF104" i="22"/>
  <c r="AF106" i="22"/>
  <c r="AF6" i="22"/>
  <c r="AF10" i="22"/>
  <c r="AF14" i="22"/>
  <c r="AF18" i="22"/>
  <c r="AF22" i="22"/>
  <c r="AF26" i="22"/>
  <c r="AF30" i="22"/>
  <c r="AF50" i="22"/>
  <c r="AF75" i="22"/>
  <c r="AF77" i="22"/>
  <c r="AF79" i="22"/>
  <c r="AF81" i="22"/>
  <c r="AF83" i="22"/>
  <c r="AF85" i="22"/>
  <c r="AF87" i="22"/>
  <c r="AF89" i="22"/>
  <c r="AF91" i="22"/>
  <c r="AF93" i="22"/>
  <c r="AF95" i="22"/>
  <c r="AF97" i="22"/>
  <c r="AF99" i="22"/>
  <c r="AF101" i="22"/>
  <c r="AF103" i="22"/>
  <c r="AF105" i="22"/>
  <c r="AE46" i="3" l="1"/>
  <c r="V46" i="12"/>
  <c r="D20" i="12"/>
  <c r="AN33" i="9"/>
  <c r="AE33" i="3"/>
  <c r="AN36" i="9"/>
  <c r="AE36" i="3"/>
  <c r="AN45" i="9"/>
  <c r="AE45" i="3"/>
  <c r="AN14" i="9"/>
  <c r="AE14" i="3"/>
  <c r="AN80" i="9"/>
  <c r="AE80" i="3"/>
  <c r="AN21" i="9"/>
  <c r="AE21" i="3"/>
  <c r="AN79" i="9"/>
  <c r="AE79" i="3"/>
  <c r="AN96" i="9"/>
  <c r="AE96" i="3"/>
  <c r="AN40" i="9"/>
  <c r="AE40" i="3"/>
  <c r="AN58" i="9"/>
  <c r="AE58" i="3"/>
  <c r="AN77" i="9"/>
  <c r="AE77" i="3"/>
  <c r="AN23" i="9"/>
  <c r="AE23" i="3"/>
  <c r="AN73" i="9"/>
  <c r="AE73" i="3"/>
  <c r="AN93" i="9"/>
  <c r="AE93" i="3"/>
  <c r="AN35" i="9"/>
  <c r="AE35" i="3"/>
  <c r="AN47" i="9"/>
  <c r="AE47" i="3"/>
  <c r="AN10" i="9"/>
  <c r="AE10" i="3"/>
  <c r="AN90" i="9"/>
  <c r="AE90" i="3"/>
  <c r="AN101" i="9"/>
  <c r="AE101" i="3"/>
  <c r="AN95" i="9"/>
  <c r="AE95" i="3"/>
  <c r="AN62" i="9"/>
  <c r="AE62" i="3"/>
  <c r="AN70" i="9"/>
  <c r="AE70" i="3"/>
  <c r="AN22" i="9"/>
  <c r="AE22" i="3"/>
  <c r="AN24" i="9"/>
  <c r="AE24" i="3"/>
  <c r="AN44" i="9"/>
  <c r="AE44" i="3"/>
  <c r="AN18" i="9"/>
  <c r="AE18" i="3"/>
  <c r="AN51" i="9"/>
  <c r="AE51" i="3"/>
  <c r="AN37" i="9"/>
  <c r="AE37" i="3"/>
  <c r="AN67" i="9"/>
  <c r="AE67" i="3"/>
  <c r="AN32" i="9"/>
  <c r="AE32" i="3"/>
  <c r="AN75" i="9"/>
  <c r="AE75" i="3"/>
  <c r="AN17" i="9"/>
  <c r="AE17" i="3"/>
  <c r="AN83" i="9"/>
  <c r="AE83" i="3"/>
  <c r="AN19" i="9"/>
  <c r="AE19" i="3"/>
  <c r="AN39" i="9"/>
  <c r="AE39" i="3"/>
  <c r="AN85" i="9"/>
  <c r="AE85" i="3"/>
  <c r="AN54" i="9"/>
  <c r="AE54" i="3"/>
  <c r="AN13" i="9"/>
  <c r="AE13" i="3"/>
  <c r="AN20" i="9"/>
  <c r="AE20" i="3"/>
  <c r="AN88" i="9"/>
  <c r="AE88" i="3"/>
  <c r="AN103" i="9"/>
  <c r="AE103" i="3"/>
  <c r="AN16" i="9"/>
  <c r="AE16" i="3"/>
  <c r="AN7" i="9"/>
  <c r="AE7" i="3"/>
  <c r="AN60" i="9"/>
  <c r="AE60" i="3"/>
  <c r="AN97" i="9"/>
  <c r="AE97" i="3"/>
  <c r="AN104" i="9"/>
  <c r="AE104" i="3"/>
  <c r="AN27" i="9"/>
  <c r="AE27" i="3"/>
  <c r="AN42" i="9"/>
  <c r="AE42" i="3"/>
  <c r="AN43" i="9"/>
  <c r="AE43" i="3"/>
  <c r="AN9" i="9"/>
  <c r="AE9" i="3"/>
  <c r="AN48" i="9"/>
  <c r="AE48" i="3"/>
  <c r="AN106" i="9"/>
  <c r="AE106" i="3"/>
  <c r="AN56" i="9"/>
  <c r="AE56" i="3"/>
  <c r="AN98" i="9"/>
  <c r="AE98" i="3"/>
  <c r="AN69" i="9"/>
  <c r="AE69" i="3"/>
  <c r="AN11" i="9"/>
  <c r="AE11" i="3"/>
  <c r="AN34" i="9"/>
  <c r="AE34" i="3"/>
  <c r="AN57" i="9"/>
  <c r="AE57" i="3"/>
  <c r="AN28" i="9"/>
  <c r="AE28" i="3"/>
  <c r="AN99" i="9"/>
  <c r="AE99" i="3"/>
  <c r="AN25" i="9"/>
  <c r="AE25" i="3"/>
  <c r="AN61" i="9"/>
  <c r="AE61" i="3"/>
  <c r="AN12" i="9"/>
  <c r="AE12" i="3"/>
  <c r="AN15" i="9"/>
  <c r="AE15" i="3"/>
  <c r="AN82" i="9"/>
  <c r="AE82" i="3"/>
  <c r="AN74" i="9"/>
  <c r="AE74" i="3"/>
  <c r="AN41" i="9"/>
  <c r="AE41" i="3"/>
  <c r="AN65" i="9"/>
  <c r="AE65" i="3"/>
  <c r="AN87" i="9"/>
  <c r="AE87" i="3"/>
  <c r="AN29" i="9"/>
  <c r="AE29" i="3"/>
  <c r="AN63" i="9"/>
  <c r="AE63" i="3"/>
  <c r="AN31" i="9"/>
  <c r="AE31" i="3"/>
  <c r="AN72" i="9"/>
  <c r="AE72" i="3"/>
  <c r="AN81" i="9"/>
  <c r="AE81" i="3"/>
  <c r="AN89" i="9"/>
  <c r="AE89" i="3"/>
  <c r="AN8" i="9"/>
  <c r="AE8" i="3"/>
  <c r="AN105" i="9"/>
  <c r="AE105" i="3"/>
  <c r="AN38" i="9"/>
  <c r="AE38" i="3"/>
  <c r="AN91" i="9"/>
  <c r="AE91" i="3"/>
  <c r="AN30" i="9"/>
  <c r="AE30" i="3"/>
  <c r="AN49" i="9"/>
  <c r="AE49" i="3"/>
  <c r="AN53" i="9"/>
  <c r="AE53" i="3"/>
  <c r="AN50" i="9"/>
  <c r="AE50" i="3"/>
  <c r="AN66" i="9"/>
  <c r="AE66" i="3"/>
  <c r="AN6" i="9"/>
  <c r="AE6" i="3"/>
  <c r="AN26" i="9"/>
  <c r="AE26" i="3"/>
  <c r="V10" i="12"/>
  <c r="D52" i="12"/>
  <c r="V18" i="12"/>
  <c r="V43" i="12"/>
  <c r="V56" i="12"/>
  <c r="D18" i="12"/>
  <c r="D10" i="12"/>
  <c r="AN5" i="9"/>
  <c r="D40" i="12"/>
  <c r="V5" i="12"/>
  <c r="D42" i="12"/>
  <c r="D66" i="12"/>
  <c r="D26" i="12"/>
  <c r="D8" i="12"/>
  <c r="V69" i="12"/>
  <c r="D72" i="12"/>
  <c r="V72" i="12"/>
  <c r="V83" i="12"/>
  <c r="D62" i="12"/>
  <c r="V106" i="12"/>
  <c r="D14" i="12"/>
  <c r="V48" i="12"/>
  <c r="V11" i="12"/>
  <c r="V89" i="12"/>
  <c r="V42" i="12"/>
  <c r="V19" i="12"/>
  <c r="V98" i="12"/>
  <c r="V9" i="12"/>
  <c r="V95" i="12"/>
  <c r="V39" i="12"/>
  <c r="V57" i="12"/>
  <c r="V34" i="12"/>
  <c r="V75" i="12"/>
  <c r="V85" i="12"/>
  <c r="V32" i="12"/>
  <c r="V51" i="12"/>
  <c r="V62" i="12"/>
  <c r="V81" i="12"/>
  <c r="V44" i="12"/>
  <c r="D50" i="12"/>
  <c r="V22" i="12"/>
  <c r="D46" i="12"/>
  <c r="V24" i="12"/>
  <c r="V70" i="12"/>
  <c r="V8" i="12"/>
  <c r="V17" i="12"/>
  <c r="V67" i="12"/>
  <c r="V31" i="12"/>
  <c r="D34" i="12"/>
  <c r="D58" i="12"/>
  <c r="D24" i="12"/>
  <c r="V82" i="12"/>
  <c r="D6" i="12"/>
  <c r="V103" i="12"/>
  <c r="V35" i="12"/>
  <c r="D28" i="12"/>
  <c r="D38" i="12"/>
  <c r="D12" i="12"/>
  <c r="V21" i="12"/>
  <c r="V79" i="12"/>
  <c r="V16" i="12"/>
  <c r="V27" i="12"/>
  <c r="V12" i="12"/>
  <c r="V87" i="12"/>
  <c r="D70" i="12"/>
  <c r="V13" i="12"/>
  <c r="V77" i="12"/>
  <c r="D22" i="12"/>
  <c r="V49" i="12"/>
  <c r="V96" i="12"/>
  <c r="D56" i="12"/>
  <c r="V88" i="12"/>
  <c r="D48" i="12"/>
  <c r="V40" i="12"/>
  <c r="V58" i="12"/>
  <c r="V14" i="12"/>
  <c r="V80" i="12"/>
  <c r="V105" i="12"/>
  <c r="V26" i="12"/>
  <c r="V33" i="12"/>
  <c r="V20" i="12"/>
  <c r="D32" i="12"/>
  <c r="V99" i="12"/>
  <c r="V97" i="12"/>
  <c r="V90" i="12"/>
  <c r="V50" i="12"/>
  <c r="V93" i="12"/>
  <c r="V36" i="12"/>
  <c r="V45" i="12"/>
  <c r="V91" i="12"/>
  <c r="V38" i="12"/>
  <c r="V6" i="12"/>
  <c r="V73" i="12"/>
  <c r="V60" i="12"/>
  <c r="V101" i="12"/>
  <c r="V63" i="12"/>
  <c r="V74" i="12"/>
  <c r="V66" i="12"/>
  <c r="V65" i="12"/>
  <c r="V15" i="12"/>
  <c r="V29" i="12"/>
  <c r="V30" i="12"/>
  <c r="V25" i="12"/>
  <c r="V53" i="12"/>
  <c r="V104" i="12"/>
  <c r="V7" i="12"/>
  <c r="V47" i="12"/>
  <c r="V61" i="12"/>
  <c r="D44" i="12"/>
  <c r="D30" i="12"/>
  <c r="D54" i="12"/>
  <c r="D64" i="12"/>
  <c r="D16" i="12"/>
  <c r="D60" i="12"/>
  <c r="K54" i="22"/>
  <c r="P54" i="22" s="1"/>
  <c r="K53" i="22"/>
  <c r="P53" i="22" s="1"/>
  <c r="K14" i="22"/>
  <c r="P14" i="22" s="1"/>
  <c r="K62" i="22"/>
  <c r="P62" i="22" s="1"/>
  <c r="K88" i="22"/>
  <c r="P88" i="22" s="1"/>
  <c r="K76" i="22"/>
  <c r="P76" i="22" s="1"/>
  <c r="K12" i="22"/>
  <c r="P12" i="22" s="1"/>
  <c r="K66" i="22"/>
  <c r="P66" i="22" s="1"/>
  <c r="K41" i="22"/>
  <c r="P41" i="22" s="1"/>
  <c r="K95" i="22"/>
  <c r="P95" i="22" s="1"/>
  <c r="K34" i="22"/>
  <c r="P34" i="22" s="1"/>
  <c r="K45" i="22"/>
  <c r="P45" i="22" s="1"/>
  <c r="K30" i="22"/>
  <c r="P30" i="22" s="1"/>
  <c r="K27" i="22"/>
  <c r="P27" i="22" s="1"/>
  <c r="K73" i="22"/>
  <c r="P73" i="22" s="1"/>
  <c r="K64" i="22"/>
  <c r="P64" i="22" s="1"/>
  <c r="K38" i="22"/>
  <c r="P38" i="22" s="1"/>
  <c r="K81" i="22"/>
  <c r="P81" i="22" s="1"/>
  <c r="K32" i="22"/>
  <c r="P32" i="22" s="1"/>
  <c r="K6" i="22"/>
  <c r="N6" i="22" s="1"/>
  <c r="K84" i="22"/>
  <c r="P84" i="22" s="1"/>
  <c r="K24" i="22"/>
  <c r="P24" i="22" s="1"/>
  <c r="K83" i="22"/>
  <c r="P83" i="22" s="1"/>
  <c r="K77" i="22"/>
  <c r="P77" i="22" s="1"/>
  <c r="K61" i="22"/>
  <c r="P61" i="22" s="1"/>
  <c r="K40" i="22"/>
  <c r="P40" i="22" s="1"/>
  <c r="K68" i="22"/>
  <c r="P68" i="22" s="1"/>
  <c r="K98" i="22"/>
  <c r="P98" i="22" s="1"/>
  <c r="K58" i="22"/>
  <c r="P58" i="22" s="1"/>
  <c r="K25" i="22"/>
  <c r="P25" i="22" s="1"/>
  <c r="K63" i="22"/>
  <c r="P63" i="22" s="1"/>
  <c r="K89" i="22"/>
  <c r="P89" i="22" s="1"/>
  <c r="K75" i="22"/>
  <c r="P75" i="22" s="1"/>
  <c r="K93" i="22"/>
  <c r="P93" i="22" s="1"/>
  <c r="K43" i="22"/>
  <c r="P43" i="22" s="1"/>
  <c r="K79" i="22"/>
  <c r="P79" i="22" s="1"/>
  <c r="K42" i="22"/>
  <c r="P42" i="22" s="1"/>
  <c r="K17" i="22"/>
  <c r="P17" i="22" s="1"/>
  <c r="K92" i="22"/>
  <c r="P92" i="22" s="1"/>
  <c r="K65" i="22"/>
  <c r="P65" i="22" s="1"/>
  <c r="K87" i="22"/>
  <c r="P87" i="22" s="1"/>
  <c r="K78" i="22"/>
  <c r="P78" i="22" s="1"/>
  <c r="K57" i="22"/>
  <c r="P57" i="22" s="1"/>
  <c r="K19" i="22"/>
  <c r="P19" i="22" s="1"/>
  <c r="K13" i="22"/>
  <c r="P13" i="22" s="1"/>
  <c r="K91" i="22"/>
  <c r="P91" i="22" s="1"/>
  <c r="K8" i="22"/>
  <c r="P8" i="22" s="1"/>
  <c r="K60" i="22"/>
  <c r="P60" i="22" s="1"/>
  <c r="K18" i="22"/>
  <c r="P18" i="22" s="1"/>
  <c r="K50" i="22"/>
  <c r="P50" i="22" s="1"/>
  <c r="K96" i="22"/>
  <c r="P96" i="22" s="1"/>
  <c r="K55" i="22"/>
  <c r="P55" i="22" s="1"/>
  <c r="K49" i="22"/>
  <c r="P49" i="22" s="1"/>
  <c r="K11" i="22"/>
  <c r="P11" i="22" s="1"/>
  <c r="K29" i="22"/>
  <c r="P29" i="22" s="1"/>
  <c r="K46" i="22"/>
  <c r="P46" i="22" s="1"/>
  <c r="K52" i="22"/>
  <c r="P52" i="22" s="1"/>
  <c r="K47" i="22"/>
  <c r="P47" i="22" s="1"/>
  <c r="K59" i="22"/>
  <c r="K51" i="22"/>
  <c r="P51" i="22" s="1"/>
  <c r="K28" i="22"/>
  <c r="P28" i="22" s="1"/>
  <c r="K7" i="22"/>
  <c r="P7" i="22" s="1"/>
  <c r="K35" i="22"/>
  <c r="P35" i="22" s="1"/>
  <c r="K90" i="22"/>
  <c r="P90" i="22" s="1"/>
  <c r="K23" i="22"/>
  <c r="P23" i="22" s="1"/>
  <c r="K85" i="22"/>
  <c r="P85" i="22" s="1"/>
  <c r="K70" i="22"/>
  <c r="P70" i="22" s="1"/>
  <c r="K82" i="22"/>
  <c r="P82" i="22" s="1"/>
  <c r="K15" i="22"/>
  <c r="P15" i="22" s="1"/>
  <c r="K44" i="22"/>
  <c r="P44" i="22" s="1"/>
  <c r="K9" i="22"/>
  <c r="P9" i="22" s="1"/>
  <c r="K26" i="22"/>
  <c r="P26" i="22" s="1"/>
  <c r="K56" i="22"/>
  <c r="P56" i="22" s="1"/>
  <c r="K39" i="22"/>
  <c r="P39" i="22" s="1"/>
  <c r="K80" i="22"/>
  <c r="P80" i="22" s="1"/>
  <c r="K101" i="22"/>
  <c r="P101" i="22" s="1"/>
  <c r="K86" i="22"/>
  <c r="P86" i="22" s="1"/>
  <c r="K21" i="22"/>
  <c r="P21" i="22" s="1"/>
  <c r="K69" i="22"/>
  <c r="P69" i="22" s="1"/>
  <c r="K10" i="22"/>
  <c r="P10" i="22" s="1"/>
  <c r="K100" i="22"/>
  <c r="P100" i="22" s="1"/>
  <c r="K36" i="22"/>
  <c r="P36" i="22" s="1"/>
  <c r="K72" i="22"/>
  <c r="P72" i="22" s="1"/>
  <c r="K97" i="22"/>
  <c r="P97" i="22" s="1"/>
  <c r="K48" i="22"/>
  <c r="P48" i="22" s="1"/>
  <c r="K31" i="22"/>
  <c r="P31" i="22" s="1"/>
  <c r="K16" i="22"/>
  <c r="P16" i="22" s="1"/>
  <c r="K37" i="22"/>
  <c r="P37" i="22" s="1"/>
  <c r="K99" i="22"/>
  <c r="P99" i="22" s="1"/>
  <c r="K71" i="22"/>
  <c r="P71" i="22" s="1"/>
  <c r="K67" i="22"/>
  <c r="P67" i="22" s="1"/>
  <c r="K33" i="22"/>
  <c r="P33" i="22" s="1"/>
  <c r="K20" i="22"/>
  <c r="P20" i="22" s="1"/>
  <c r="K74" i="22"/>
  <c r="P74" i="22" s="1"/>
  <c r="K94" i="22"/>
  <c r="P94" i="22" s="1"/>
  <c r="AE9" i="9"/>
  <c r="D9" i="12"/>
  <c r="AE43" i="9"/>
  <c r="D43" i="12"/>
  <c r="AE91" i="9"/>
  <c r="D91" i="12"/>
  <c r="AE76" i="9"/>
  <c r="D76" i="12"/>
  <c r="AE61" i="9"/>
  <c r="D61" i="12"/>
  <c r="AN71" i="9"/>
  <c r="V71" i="12"/>
  <c r="AE5" i="9"/>
  <c r="D5" i="12"/>
  <c r="AE75" i="9"/>
  <c r="D75" i="12"/>
  <c r="AE59" i="9"/>
  <c r="D59" i="12"/>
  <c r="AE41" i="9"/>
  <c r="D41" i="12"/>
  <c r="AE19" i="9"/>
  <c r="D19" i="12"/>
  <c r="AN64" i="9"/>
  <c r="V64" i="12"/>
  <c r="AN52" i="9"/>
  <c r="V52" i="12"/>
  <c r="AE104" i="9"/>
  <c r="D104" i="12"/>
  <c r="AE88" i="9"/>
  <c r="D88" i="12"/>
  <c r="AE49" i="9"/>
  <c r="D49" i="12"/>
  <c r="AE105" i="9"/>
  <c r="D105" i="12"/>
  <c r="AE89" i="9"/>
  <c r="D89" i="12"/>
  <c r="AE73" i="9"/>
  <c r="D73" i="12"/>
  <c r="AE57" i="9"/>
  <c r="D57" i="12"/>
  <c r="AE39" i="9"/>
  <c r="D39" i="12"/>
  <c r="AE15" i="9"/>
  <c r="D15" i="12"/>
  <c r="AN55" i="9"/>
  <c r="V55" i="12"/>
  <c r="AE106" i="9"/>
  <c r="D106" i="12"/>
  <c r="AE102" i="9"/>
  <c r="D102" i="12"/>
  <c r="AE86" i="9"/>
  <c r="D86" i="12"/>
  <c r="AE29" i="9"/>
  <c r="D29" i="12"/>
  <c r="AE103" i="9"/>
  <c r="D103" i="12"/>
  <c r="AE87" i="9"/>
  <c r="D87" i="12"/>
  <c r="AE71" i="9"/>
  <c r="D71" i="12"/>
  <c r="AE55" i="9"/>
  <c r="D55" i="12"/>
  <c r="AE37" i="9"/>
  <c r="D37" i="12"/>
  <c r="AE11" i="9"/>
  <c r="D11" i="12"/>
  <c r="AN102" i="9"/>
  <c r="V102" i="12"/>
  <c r="AE92" i="9"/>
  <c r="D92" i="12"/>
  <c r="AE77" i="9"/>
  <c r="D77" i="12"/>
  <c r="AN59" i="9"/>
  <c r="V59" i="12"/>
  <c r="AE90" i="9"/>
  <c r="D90" i="12"/>
  <c r="AE84" i="9"/>
  <c r="D84" i="12"/>
  <c r="AE25" i="9"/>
  <c r="D25" i="12"/>
  <c r="AE85" i="9"/>
  <c r="D85" i="12"/>
  <c r="AE53" i="9"/>
  <c r="D53" i="12"/>
  <c r="AN94" i="9"/>
  <c r="V94" i="12"/>
  <c r="AE82" i="9"/>
  <c r="D82" i="12"/>
  <c r="AE99" i="9"/>
  <c r="D99" i="12"/>
  <c r="AE67" i="9"/>
  <c r="D67" i="12"/>
  <c r="AE33" i="9"/>
  <c r="D33" i="12"/>
  <c r="AN86" i="9"/>
  <c r="V86" i="12"/>
  <c r="AE80" i="9"/>
  <c r="D80" i="12"/>
  <c r="AE97" i="9"/>
  <c r="D97" i="12"/>
  <c r="AE65" i="9"/>
  <c r="D65" i="12"/>
  <c r="AE47" i="9"/>
  <c r="D47" i="12"/>
  <c r="AE31" i="9"/>
  <c r="D31" i="12"/>
  <c r="AN84" i="9"/>
  <c r="V84" i="12"/>
  <c r="AN78" i="9"/>
  <c r="V78" i="12"/>
  <c r="AE93" i="9"/>
  <c r="D93" i="12"/>
  <c r="AE23" i="9"/>
  <c r="D23" i="12"/>
  <c r="AE74" i="9"/>
  <c r="D74" i="12"/>
  <c r="AE100" i="9"/>
  <c r="D100" i="12"/>
  <c r="AE101" i="9"/>
  <c r="D101" i="12"/>
  <c r="AE69" i="9"/>
  <c r="D69" i="12"/>
  <c r="AE35" i="9"/>
  <c r="D35" i="12"/>
  <c r="AE7" i="9"/>
  <c r="D7" i="12"/>
  <c r="AE98" i="9"/>
  <c r="D98" i="12"/>
  <c r="AE21" i="9"/>
  <c r="D21" i="12"/>
  <c r="AE83" i="9"/>
  <c r="D83" i="12"/>
  <c r="AE51" i="9"/>
  <c r="D51" i="12"/>
  <c r="AN92" i="9"/>
  <c r="V92" i="12"/>
  <c r="AE96" i="9"/>
  <c r="D96" i="12"/>
  <c r="AE17" i="9"/>
  <c r="D17" i="12"/>
  <c r="AE81" i="9"/>
  <c r="D81" i="12"/>
  <c r="AE94" i="9"/>
  <c r="D94" i="12"/>
  <c r="AE78" i="9"/>
  <c r="D78" i="12"/>
  <c r="AE13" i="9"/>
  <c r="D13" i="12"/>
  <c r="AE95" i="9"/>
  <c r="D95" i="12"/>
  <c r="AE79" i="9"/>
  <c r="D79" i="12"/>
  <c r="AE63" i="9"/>
  <c r="D63" i="12"/>
  <c r="AE45" i="9"/>
  <c r="D45" i="12"/>
  <c r="AE27" i="9"/>
  <c r="D27" i="12"/>
  <c r="AN76" i="9"/>
  <c r="V76" i="12"/>
  <c r="AN68" i="9"/>
  <c r="V68" i="12"/>
  <c r="P22" i="22"/>
  <c r="C24" i="1"/>
  <c r="B24" i="1"/>
  <c r="E24" i="1"/>
  <c r="F24" i="1"/>
  <c r="C17" i="1"/>
  <c r="D17" i="1"/>
  <c r="L54" i="22" l="1"/>
  <c r="M38" i="22"/>
  <c r="O23" i="22"/>
  <c r="L56" i="22"/>
  <c r="M56" i="22"/>
  <c r="N38" i="22"/>
  <c r="M54" i="22"/>
  <c r="L38" i="22"/>
  <c r="N54" i="22"/>
  <c r="M23" i="22"/>
  <c r="O56" i="22"/>
  <c r="O57" i="22"/>
  <c r="L23" i="22"/>
  <c r="N23" i="22"/>
  <c r="O38" i="22"/>
  <c r="O54" i="22"/>
  <c r="L57" i="22"/>
  <c r="N50" i="22"/>
  <c r="O40" i="22"/>
  <c r="M40" i="22"/>
  <c r="L36" i="22"/>
  <c r="M43" i="22"/>
  <c r="M17" i="22"/>
  <c r="O6" i="22"/>
  <c r="O25" i="22"/>
  <c r="L27" i="22"/>
  <c r="O27" i="22"/>
  <c r="O31" i="22"/>
  <c r="L50" i="22"/>
  <c r="N36" i="22"/>
  <c r="N11" i="22"/>
  <c r="M44" i="22"/>
  <c r="N21" i="22"/>
  <c r="N27" i="22"/>
  <c r="N40" i="22"/>
  <c r="O21" i="22"/>
  <c r="L31" i="22"/>
  <c r="M25" i="22"/>
  <c r="N19" i="22"/>
  <c r="L11" i="22"/>
  <c r="M31" i="22"/>
  <c r="L44" i="22"/>
  <c r="L8" i="22"/>
  <c r="M11" i="22"/>
  <c r="O44" i="22"/>
  <c r="L17" i="22"/>
  <c r="L21" i="22"/>
  <c r="N17" i="22"/>
  <c r="N31" i="22"/>
  <c r="M27" i="22"/>
  <c r="N57" i="22"/>
  <c r="N44" i="22"/>
  <c r="M21" i="22"/>
  <c r="O17" i="22"/>
  <c r="O11" i="22"/>
  <c r="L25" i="22"/>
  <c r="N12" i="22"/>
  <c r="N43" i="22"/>
  <c r="M6" i="22"/>
  <c r="N25" i="22"/>
  <c r="L12" i="22"/>
  <c r="M8" i="22"/>
  <c r="O43" i="22"/>
  <c r="M12" i="22"/>
  <c r="L19" i="22"/>
  <c r="O8" i="22"/>
  <c r="M36" i="22"/>
  <c r="O46" i="22"/>
  <c r="N30" i="22"/>
  <c r="O12" i="22"/>
  <c r="M50" i="22"/>
  <c r="O36" i="22"/>
  <c r="L6" i="22"/>
  <c r="L46" i="22"/>
  <c r="N8" i="22"/>
  <c r="N49" i="22"/>
  <c r="L30" i="22"/>
  <c r="M46" i="22"/>
  <c r="M49" i="22"/>
  <c r="M30" i="22"/>
  <c r="M57" i="22"/>
  <c r="O50" i="22"/>
  <c r="L40" i="22"/>
  <c r="N46" i="22"/>
  <c r="N56" i="22"/>
  <c r="L43" i="22"/>
  <c r="L58" i="22"/>
  <c r="O19" i="22"/>
  <c r="M59" i="22"/>
  <c r="O59" i="22"/>
  <c r="L59" i="22"/>
  <c r="P59" i="22"/>
  <c r="N59" i="22"/>
  <c r="M58" i="22"/>
  <c r="O30" i="22"/>
  <c r="K5" i="22"/>
  <c r="M19" i="22"/>
  <c r="O49" i="22"/>
  <c r="N58" i="22"/>
  <c r="O58" i="22"/>
  <c r="L49" i="22"/>
  <c r="P6" i="22"/>
  <c r="O18" i="22"/>
  <c r="N18" i="22"/>
  <c r="L18" i="22"/>
  <c r="M18" i="22"/>
  <c r="M51" i="22"/>
  <c r="O51" i="22"/>
  <c r="N51" i="22"/>
  <c r="L51" i="22"/>
  <c r="O20" i="22"/>
  <c r="L20" i="22"/>
  <c r="N20" i="22"/>
  <c r="M20" i="22"/>
  <c r="O42" i="22"/>
  <c r="N42" i="22"/>
  <c r="M42" i="22"/>
  <c r="L42" i="22"/>
  <c r="O28" i="22"/>
  <c r="L28" i="22"/>
  <c r="N28" i="22"/>
  <c r="M28" i="22"/>
  <c r="M37" i="22"/>
  <c r="O37" i="22"/>
  <c r="N37" i="22"/>
  <c r="L37" i="22"/>
  <c r="M15" i="22"/>
  <c r="O15" i="22"/>
  <c r="N15" i="22"/>
  <c r="L15" i="22"/>
  <c r="M39" i="22"/>
  <c r="O39" i="22"/>
  <c r="N39" i="22"/>
  <c r="L39" i="22"/>
  <c r="M53" i="22"/>
  <c r="O53" i="22"/>
  <c r="N53" i="22"/>
  <c r="L53" i="22"/>
  <c r="M33" i="22"/>
  <c r="N33" i="22"/>
  <c r="L33" i="22"/>
  <c r="O33" i="22"/>
  <c r="O34" i="22"/>
  <c r="N34" i="22"/>
  <c r="M34" i="22"/>
  <c r="L34" i="22"/>
  <c r="M35" i="22"/>
  <c r="O35" i="22"/>
  <c r="N35" i="22"/>
  <c r="L35" i="22"/>
  <c r="O26" i="22"/>
  <c r="N26" i="22"/>
  <c r="M26" i="22"/>
  <c r="L26" i="22"/>
  <c r="O52" i="22"/>
  <c r="L52" i="22"/>
  <c r="N52" i="22"/>
  <c r="M52" i="22"/>
  <c r="M7" i="22"/>
  <c r="O7" i="22"/>
  <c r="N7" i="22"/>
  <c r="L7" i="22"/>
  <c r="O10" i="22"/>
  <c r="N10" i="22"/>
  <c r="M10" i="22"/>
  <c r="L10" i="22"/>
  <c r="M45" i="22"/>
  <c r="O45" i="22"/>
  <c r="N45" i="22"/>
  <c r="L45" i="22"/>
  <c r="M29" i="22"/>
  <c r="O29" i="22"/>
  <c r="N29" i="22"/>
  <c r="L29" i="22"/>
  <c r="M13" i="22"/>
  <c r="O13" i="22"/>
  <c r="N13" i="22"/>
  <c r="L13" i="22"/>
  <c r="O24" i="22"/>
  <c r="L24" i="22"/>
  <c r="N24" i="22"/>
  <c r="M24" i="22"/>
  <c r="M55" i="22"/>
  <c r="L55" i="22"/>
  <c r="O55" i="22"/>
  <c r="N55" i="22"/>
  <c r="O48" i="22"/>
  <c r="L48" i="22"/>
  <c r="M48" i="22"/>
  <c r="N48" i="22"/>
  <c r="O32" i="22"/>
  <c r="L32" i="22"/>
  <c r="M32" i="22"/>
  <c r="N32" i="22"/>
  <c r="M41" i="22"/>
  <c r="N41" i="22"/>
  <c r="L41" i="22"/>
  <c r="O41" i="22"/>
  <c r="O14" i="22"/>
  <c r="N14" i="22"/>
  <c r="M14" i="22"/>
  <c r="L14" i="22"/>
  <c r="M47" i="22"/>
  <c r="O47" i="22"/>
  <c r="N47" i="22"/>
  <c r="L47" i="22"/>
  <c r="O16" i="22"/>
  <c r="L16" i="22"/>
  <c r="N16" i="22"/>
  <c r="M16" i="22"/>
  <c r="M9" i="22"/>
  <c r="N9" i="22"/>
  <c r="L9" i="22"/>
  <c r="O9" i="22"/>
  <c r="O22" i="22"/>
  <c r="N22" i="22"/>
  <c r="M22" i="22"/>
  <c r="L22" i="22"/>
  <c r="AG3" i="22"/>
  <c r="AD4" i="7"/>
  <c r="AH1" i="3" s="1"/>
  <c r="AP105" i="9" l="1"/>
  <c r="AP97" i="9"/>
  <c r="AP89" i="9"/>
  <c r="AP81" i="9"/>
  <c r="AP73" i="9"/>
  <c r="AP65" i="9"/>
  <c r="AP57" i="9"/>
  <c r="AP49" i="9"/>
  <c r="AP41" i="9"/>
  <c r="AP33" i="9"/>
  <c r="AP25" i="9"/>
  <c r="AP17" i="9"/>
  <c r="AP9" i="9"/>
  <c r="AA103" i="3"/>
  <c r="AA95" i="3"/>
  <c r="AA87" i="3"/>
  <c r="AA79" i="3"/>
  <c r="AA71" i="3"/>
  <c r="AA63" i="3"/>
  <c r="AA55" i="3"/>
  <c r="AA47" i="3"/>
  <c r="AA39" i="3"/>
  <c r="AA31" i="3"/>
  <c r="AA23" i="3"/>
  <c r="AA15" i="3"/>
  <c r="AA7" i="3"/>
  <c r="AP16" i="9"/>
  <c r="AP8" i="9"/>
  <c r="AA102" i="3"/>
  <c r="AA94" i="3"/>
  <c r="AA86" i="3"/>
  <c r="AA78" i="3"/>
  <c r="AA70" i="3"/>
  <c r="AA54" i="3"/>
  <c r="AA46" i="3"/>
  <c r="AA38" i="3"/>
  <c r="AA30" i="3"/>
  <c r="AA14" i="3"/>
  <c r="AA6" i="3"/>
  <c r="AP77" i="9"/>
  <c r="AP45" i="9"/>
  <c r="AP21" i="9"/>
  <c r="AA99" i="3"/>
  <c r="AA75" i="3"/>
  <c r="AA59" i="3"/>
  <c r="AA35" i="3"/>
  <c r="AA11" i="3"/>
  <c r="AP100" i="9"/>
  <c r="AP84" i="9"/>
  <c r="AP76" i="9"/>
  <c r="AP68" i="9"/>
  <c r="AP60" i="9"/>
  <c r="AP44" i="9"/>
  <c r="AP36" i="9"/>
  <c r="AP28" i="9"/>
  <c r="AP12" i="9"/>
  <c r="AA106" i="3"/>
  <c r="AA82" i="3"/>
  <c r="AA66" i="3"/>
  <c r="AA42" i="3"/>
  <c r="AA18" i="3"/>
  <c r="AP99" i="9"/>
  <c r="AP75" i="9"/>
  <c r="AP51" i="9"/>
  <c r="AP27" i="9"/>
  <c r="AA105" i="3"/>
  <c r="AA73" i="3"/>
  <c r="AA49" i="3"/>
  <c r="AA25" i="3"/>
  <c r="AP106" i="9"/>
  <c r="AP82" i="9"/>
  <c r="AP58" i="9"/>
  <c r="AP34" i="9"/>
  <c r="AP10" i="9"/>
  <c r="AA88" i="3"/>
  <c r="AA64" i="3"/>
  <c r="AA48" i="3"/>
  <c r="AA24" i="3"/>
  <c r="AP104" i="9"/>
  <c r="AP96" i="9"/>
  <c r="AP88" i="9"/>
  <c r="AP80" i="9"/>
  <c r="AP72" i="9"/>
  <c r="AP64" i="9"/>
  <c r="AP56" i="9"/>
  <c r="AP48" i="9"/>
  <c r="AP40" i="9"/>
  <c r="AP32" i="9"/>
  <c r="AP24" i="9"/>
  <c r="AA62" i="3"/>
  <c r="AA22" i="3"/>
  <c r="AP61" i="9"/>
  <c r="AP37" i="9"/>
  <c r="AP13" i="9"/>
  <c r="AA91" i="3"/>
  <c r="AA67" i="3"/>
  <c r="AA43" i="3"/>
  <c r="AA19" i="3"/>
  <c r="AP52" i="9"/>
  <c r="AA90" i="3"/>
  <c r="AA58" i="3"/>
  <c r="AA26" i="3"/>
  <c r="AG3" i="23"/>
  <c r="AP83" i="9"/>
  <c r="AP59" i="9"/>
  <c r="AP35" i="9"/>
  <c r="AP11" i="9"/>
  <c r="AA89" i="3"/>
  <c r="AA65" i="3"/>
  <c r="AA41" i="3"/>
  <c r="AA17" i="3"/>
  <c r="AP98" i="9"/>
  <c r="AP74" i="9"/>
  <c r="AP50" i="9"/>
  <c r="AP26" i="9"/>
  <c r="AA96" i="3"/>
  <c r="AA72" i="3"/>
  <c r="AA40" i="3"/>
  <c r="AA16" i="3"/>
  <c r="AP103" i="9"/>
  <c r="AP95" i="9"/>
  <c r="AP87" i="9"/>
  <c r="AP79" i="9"/>
  <c r="AP71" i="9"/>
  <c r="AP63" i="9"/>
  <c r="AP55" i="9"/>
  <c r="AP47" i="9"/>
  <c r="AP39" i="9"/>
  <c r="AP31" i="9"/>
  <c r="AP23" i="9"/>
  <c r="AP15" i="9"/>
  <c r="AP7" i="9"/>
  <c r="AA101" i="3"/>
  <c r="AA93" i="3"/>
  <c r="AA85" i="3"/>
  <c r="AA77" i="3"/>
  <c r="AA69" i="3"/>
  <c r="AA61" i="3"/>
  <c r="AA53" i="3"/>
  <c r="AA45" i="3"/>
  <c r="AA37" i="3"/>
  <c r="AA29" i="3"/>
  <c r="AA21" i="3"/>
  <c r="AA13" i="3"/>
  <c r="AA5" i="3"/>
  <c r="AP102" i="9"/>
  <c r="AP94" i="9"/>
  <c r="AP86" i="9"/>
  <c r="AP78" i="9"/>
  <c r="AP70" i="9"/>
  <c r="AP62" i="9"/>
  <c r="AP54" i="9"/>
  <c r="AP46" i="9"/>
  <c r="AP38" i="9"/>
  <c r="AP30" i="9"/>
  <c r="AP22" i="9"/>
  <c r="AP14" i="9"/>
  <c r="AP6" i="9"/>
  <c r="AA100" i="3"/>
  <c r="AA92" i="3"/>
  <c r="AA84" i="3"/>
  <c r="AA76" i="3"/>
  <c r="AA68" i="3"/>
  <c r="AA60" i="3"/>
  <c r="AA52" i="3"/>
  <c r="AA44" i="3"/>
  <c r="AA36" i="3"/>
  <c r="AA28" i="3"/>
  <c r="AA20" i="3"/>
  <c r="AA12" i="3"/>
  <c r="AP101" i="9"/>
  <c r="AP93" i="9"/>
  <c r="AP85" i="9"/>
  <c r="AP69" i="9"/>
  <c r="AP53" i="9"/>
  <c r="AP29" i="9"/>
  <c r="AA83" i="3"/>
  <c r="AA51" i="3"/>
  <c r="AA27" i="3"/>
  <c r="AP92" i="9"/>
  <c r="AP20" i="9"/>
  <c r="AA98" i="3"/>
  <c r="AA74" i="3"/>
  <c r="AA50" i="3"/>
  <c r="AA34" i="3"/>
  <c r="AA10" i="3"/>
  <c r="AP91" i="9"/>
  <c r="AP67" i="9"/>
  <c r="AP43" i="9"/>
  <c r="AP19" i="9"/>
  <c r="AA97" i="3"/>
  <c r="AA81" i="3"/>
  <c r="AA57" i="3"/>
  <c r="AA33" i="3"/>
  <c r="AA9" i="3"/>
  <c r="AP90" i="9"/>
  <c r="AP66" i="9"/>
  <c r="AP42" i="9"/>
  <c r="AP18" i="9"/>
  <c r="AA104" i="3"/>
  <c r="AA80" i="3"/>
  <c r="AA56" i="3"/>
  <c r="AA32" i="3"/>
  <c r="AA8" i="3"/>
  <c r="P4" i="22"/>
  <c r="Z5" i="22" s="1"/>
  <c r="N4" i="22"/>
  <c r="X5" i="22" s="1"/>
  <c r="O4" i="22"/>
  <c r="Y5" i="22" s="1"/>
  <c r="L4" i="22"/>
  <c r="V5" i="22" s="1"/>
  <c r="M4" i="22"/>
  <c r="W5" i="22" s="1"/>
  <c r="AD4" i="17"/>
  <c r="K3" i="11"/>
  <c r="K4" i="11" s="1"/>
  <c r="C26" i="1" l="1"/>
  <c r="B26" i="1"/>
  <c r="C23" i="1" l="1"/>
  <c r="B23" i="1"/>
  <c r="F23" i="1"/>
  <c r="E23" i="1"/>
  <c r="D16" i="1"/>
  <c r="C16" i="1"/>
  <c r="E11" i="1"/>
  <c r="E10" i="1"/>
  <c r="D10" i="1"/>
  <c r="D11" i="1"/>
  <c r="AA2" i="7"/>
  <c r="X2" i="1" l="1"/>
  <c r="AT10" i="6"/>
  <c r="AT9" i="6"/>
  <c r="AT8" i="6"/>
  <c r="AT7" i="6"/>
  <c r="AT6" i="6"/>
  <c r="AT5" i="6"/>
  <c r="AT4" i="6"/>
  <c r="AL10" i="6"/>
  <c r="AL9" i="6"/>
  <c r="AL8" i="6"/>
  <c r="AL7" i="6"/>
  <c r="AL6" i="6"/>
  <c r="AL5" i="6"/>
  <c r="AL4" i="6"/>
  <c r="AM10" i="6"/>
  <c r="AM9" i="6"/>
  <c r="AM8" i="6"/>
  <c r="AM7" i="6"/>
  <c r="AM6" i="6"/>
  <c r="AM5" i="6"/>
  <c r="AM4" i="6"/>
  <c r="X107" i="17"/>
  <c r="W107" i="17"/>
  <c r="V107" i="17"/>
  <c r="AB107" i="17" s="1"/>
  <c r="U107" i="17"/>
  <c r="AB106" i="17"/>
  <c r="AB105" i="17"/>
  <c r="AB104" i="17"/>
  <c r="AB103" i="17"/>
  <c r="AB102" i="17"/>
  <c r="AB101" i="17"/>
  <c r="AB100" i="17"/>
  <c r="AB99" i="17"/>
  <c r="AB98" i="17"/>
  <c r="AB97" i="17"/>
  <c r="AB96" i="17"/>
  <c r="AB95" i="17"/>
  <c r="AB94" i="17"/>
  <c r="AB93" i="17"/>
  <c r="AB92" i="17"/>
  <c r="AB91" i="17"/>
  <c r="AB90" i="17"/>
  <c r="AB89" i="17"/>
  <c r="AB88" i="17"/>
  <c r="AB87" i="17"/>
  <c r="AB86" i="17"/>
  <c r="AB85" i="17"/>
  <c r="AB84" i="17"/>
  <c r="AB83" i="17"/>
  <c r="AB82" i="17"/>
  <c r="AB81" i="17"/>
  <c r="AB80" i="17"/>
  <c r="AB79" i="17"/>
  <c r="AB78" i="17"/>
  <c r="AB77" i="17"/>
  <c r="AB76" i="17"/>
  <c r="AB75" i="17"/>
  <c r="AB74" i="17"/>
  <c r="AB73" i="17"/>
  <c r="AB72" i="17"/>
  <c r="AB71" i="17"/>
  <c r="AB70" i="17"/>
  <c r="AB69" i="17"/>
  <c r="AB68" i="17"/>
  <c r="AB67" i="17"/>
  <c r="AB66" i="17"/>
  <c r="AB65" i="17"/>
  <c r="Q65" i="17"/>
  <c r="AB64" i="17"/>
  <c r="AB63" i="17"/>
  <c r="AB62" i="17"/>
  <c r="AB61" i="17"/>
  <c r="AB60" i="17"/>
  <c r="AB59" i="17"/>
  <c r="AB58" i="17"/>
  <c r="AB57" i="17"/>
  <c r="AB56" i="17"/>
  <c r="AB55" i="17"/>
  <c r="AB54" i="17"/>
  <c r="AB53" i="17"/>
  <c r="AB52" i="17"/>
  <c r="AB51" i="17"/>
  <c r="AB50" i="17"/>
  <c r="AB49" i="17"/>
  <c r="AB48" i="17"/>
  <c r="AB47" i="17"/>
  <c r="AB46" i="17"/>
  <c r="AB45" i="17"/>
  <c r="AB44" i="17"/>
  <c r="AB43" i="17"/>
  <c r="AB42" i="17"/>
  <c r="AB41" i="17"/>
  <c r="AB40" i="17"/>
  <c r="AB39" i="17"/>
  <c r="AB38" i="17"/>
  <c r="AB37" i="17"/>
  <c r="AB36" i="17"/>
  <c r="AB35" i="17"/>
  <c r="AB34" i="17"/>
  <c r="AB33" i="17"/>
  <c r="AB32" i="17"/>
  <c r="AB31" i="17"/>
  <c r="AB30" i="17"/>
  <c r="AB29" i="17"/>
  <c r="AB28" i="17"/>
  <c r="AB27" i="17"/>
  <c r="AB26" i="17"/>
  <c r="AB25" i="17"/>
  <c r="AB24" i="17"/>
  <c r="AB23" i="17"/>
  <c r="AB22" i="17"/>
  <c r="AB21" i="17"/>
  <c r="AB20" i="17"/>
  <c r="AB19" i="17"/>
  <c r="AB18" i="17"/>
  <c r="AB17" i="17"/>
  <c r="AB16" i="17"/>
  <c r="AB15" i="17"/>
  <c r="AB14" i="17"/>
  <c r="AB13" i="17"/>
  <c r="AB12" i="17"/>
  <c r="AB11" i="17"/>
  <c r="AB10" i="17"/>
  <c r="AB9" i="17"/>
  <c r="AB8" i="17"/>
  <c r="S8" i="17"/>
  <c r="S9" i="17" s="1"/>
  <c r="S10" i="17" s="1"/>
  <c r="S11" i="17" s="1"/>
  <c r="S12" i="17" s="1"/>
  <c r="S13" i="17" s="1"/>
  <c r="S14" i="17" s="1"/>
  <c r="S15" i="17" s="1"/>
  <c r="S16" i="17" s="1"/>
  <c r="S17" i="17" s="1"/>
  <c r="S18" i="17" s="1"/>
  <c r="S19" i="17" s="1"/>
  <c r="S20" i="17" s="1"/>
  <c r="S21" i="17" s="1"/>
  <c r="S22" i="17" s="1"/>
  <c r="S23" i="17" s="1"/>
  <c r="S24" i="17" s="1"/>
  <c r="S25" i="17" s="1"/>
  <c r="S26" i="17" s="1"/>
  <c r="S27" i="17" s="1"/>
  <c r="S28" i="17" s="1"/>
  <c r="S29" i="17" s="1"/>
  <c r="S30" i="17" s="1"/>
  <c r="S31" i="17" s="1"/>
  <c r="S32" i="17" s="1"/>
  <c r="S33" i="17" s="1"/>
  <c r="S34" i="17" s="1"/>
  <c r="S35" i="17" s="1"/>
  <c r="S36" i="17" s="1"/>
  <c r="S37" i="17" s="1"/>
  <c r="S38" i="17" s="1"/>
  <c r="S39" i="17" s="1"/>
  <c r="S40" i="17" s="1"/>
  <c r="S41" i="17" s="1"/>
  <c r="S42" i="17" s="1"/>
  <c r="S43" i="17" s="1"/>
  <c r="S44" i="17" s="1"/>
  <c r="S45" i="17" s="1"/>
  <c r="S46" i="17" s="1"/>
  <c r="S47" i="17" s="1"/>
  <c r="S48" i="17" s="1"/>
  <c r="S49" i="17" s="1"/>
  <c r="S50" i="17" s="1"/>
  <c r="S51" i="17" s="1"/>
  <c r="S52" i="17" s="1"/>
  <c r="S53" i="17" s="1"/>
  <c r="S54" i="17" s="1"/>
  <c r="S55" i="17" s="1"/>
  <c r="S56" i="17" s="1"/>
  <c r="S57" i="17" s="1"/>
  <c r="S58" i="17" s="1"/>
  <c r="S59" i="17" s="1"/>
  <c r="S60" i="17" s="1"/>
  <c r="S61" i="17" s="1"/>
  <c r="S62" i="17" s="1"/>
  <c r="S63" i="17" s="1"/>
  <c r="S64" i="17" s="1"/>
  <c r="S65" i="17" s="1"/>
  <c r="S66" i="17" s="1"/>
  <c r="S67" i="17" s="1"/>
  <c r="S68" i="17" s="1"/>
  <c r="S69" i="17" s="1"/>
  <c r="S70" i="17" s="1"/>
  <c r="S71" i="17" s="1"/>
  <c r="S72" i="17" s="1"/>
  <c r="S73" i="17" s="1"/>
  <c r="S74" i="17" s="1"/>
  <c r="S75" i="17" s="1"/>
  <c r="S76" i="17" s="1"/>
  <c r="S77" i="17" s="1"/>
  <c r="S78" i="17" s="1"/>
  <c r="S79" i="17" s="1"/>
  <c r="S80" i="17" s="1"/>
  <c r="S81" i="17" s="1"/>
  <c r="S82" i="17" s="1"/>
  <c r="S83" i="17" s="1"/>
  <c r="S84" i="17" s="1"/>
  <c r="S85" i="17" s="1"/>
  <c r="S86" i="17" s="1"/>
  <c r="S87" i="17" s="1"/>
  <c r="S88" i="17" s="1"/>
  <c r="S89" i="17" s="1"/>
  <c r="S90" i="17" s="1"/>
  <c r="S91" i="17" s="1"/>
  <c r="S92" i="17" s="1"/>
  <c r="S93" i="17" s="1"/>
  <c r="S94" i="17" s="1"/>
  <c r="S95" i="17" s="1"/>
  <c r="S96" i="17" s="1"/>
  <c r="S97" i="17" s="1"/>
  <c r="S98" i="17" s="1"/>
  <c r="S99" i="17" s="1"/>
  <c r="S100" i="17" s="1"/>
  <c r="S101" i="17" s="1"/>
  <c r="S102" i="17" s="1"/>
  <c r="S103" i="17" s="1"/>
  <c r="S104" i="17" s="1"/>
  <c r="S105" i="17" s="1"/>
  <c r="S106" i="17" s="1"/>
  <c r="S107" i="17" s="1"/>
  <c r="AB7" i="17"/>
  <c r="S7" i="17"/>
  <c r="AB6" i="17"/>
  <c r="O64" i="17" l="1"/>
  <c r="Q64" i="17"/>
  <c r="P64" i="17"/>
  <c r="N64" i="17"/>
  <c r="P65" i="17"/>
  <c r="O65" i="17"/>
  <c r="N65" i="17"/>
  <c r="O40" i="17" l="1"/>
  <c r="Q40" i="17"/>
  <c r="P40" i="17"/>
  <c r="N40" i="17"/>
  <c r="O41" i="17"/>
  <c r="N41" i="17"/>
  <c r="Q41" i="17"/>
  <c r="P41" i="17"/>
  <c r="O45" i="17"/>
  <c r="N45" i="17"/>
  <c r="Q45" i="17"/>
  <c r="P45" i="17"/>
  <c r="O48" i="17"/>
  <c r="Q48" i="17"/>
  <c r="P48" i="17"/>
  <c r="N48" i="17"/>
  <c r="O43" i="17"/>
  <c r="N43" i="17"/>
  <c r="P43" i="17"/>
  <c r="Q43" i="17"/>
  <c r="O13" i="17"/>
  <c r="N13" i="17"/>
  <c r="P13" i="17"/>
  <c r="Q13" i="17"/>
  <c r="Q16" i="17"/>
  <c r="P16" i="17"/>
  <c r="O16" i="17"/>
  <c r="N16" i="17"/>
  <c r="O63" i="17"/>
  <c r="N63" i="17"/>
  <c r="Q63" i="17"/>
  <c r="P63" i="17"/>
  <c r="Q38" i="17"/>
  <c r="P38" i="17"/>
  <c r="O38" i="17"/>
  <c r="N38" i="17"/>
  <c r="O53" i="17"/>
  <c r="N53" i="17"/>
  <c r="Q53" i="17"/>
  <c r="P53" i="17"/>
  <c r="Q30" i="17"/>
  <c r="O30" i="17"/>
  <c r="P30" i="17"/>
  <c r="N30" i="17"/>
  <c r="O39" i="17"/>
  <c r="N39" i="17"/>
  <c r="Q39" i="17"/>
  <c r="P39" i="17"/>
  <c r="Q26" i="17"/>
  <c r="P26" i="17"/>
  <c r="O26" i="17"/>
  <c r="N26" i="17"/>
  <c r="Q32" i="17"/>
  <c r="O32" i="17"/>
  <c r="P32" i="17"/>
  <c r="N32" i="17"/>
  <c r="Q28" i="17"/>
  <c r="P28" i="17"/>
  <c r="O28" i="17"/>
  <c r="N28" i="17"/>
  <c r="Q18" i="17"/>
  <c r="P18" i="17"/>
  <c r="O18" i="17"/>
  <c r="N18" i="17"/>
  <c r="O49" i="17"/>
  <c r="N49" i="17"/>
  <c r="P49" i="17"/>
  <c r="Q49" i="17"/>
  <c r="O21" i="17"/>
  <c r="N21" i="17"/>
  <c r="P21" i="17"/>
  <c r="Q21" i="17"/>
  <c r="Q34" i="17"/>
  <c r="O34" i="17"/>
  <c r="P34" i="17"/>
  <c r="N34" i="17"/>
  <c r="O23" i="17"/>
  <c r="N23" i="17"/>
  <c r="Q23" i="17"/>
  <c r="P23" i="17"/>
  <c r="O55" i="17"/>
  <c r="N55" i="17"/>
  <c r="Q55" i="17"/>
  <c r="P55" i="17"/>
  <c r="O60" i="17"/>
  <c r="Q60" i="17"/>
  <c r="P60" i="17"/>
  <c r="N60" i="17"/>
  <c r="O57" i="17"/>
  <c r="N57" i="17"/>
  <c r="Q57" i="17"/>
  <c r="P57" i="17"/>
  <c r="Q44" i="17"/>
  <c r="P44" i="17"/>
  <c r="O44" i="17"/>
  <c r="N44" i="17"/>
  <c r="O62" i="17"/>
  <c r="Q62" i="17"/>
  <c r="P62" i="17"/>
  <c r="N62" i="17"/>
  <c r="AS10" i="6"/>
  <c r="M11" i="17" l="1"/>
  <c r="Q14" i="17"/>
  <c r="P14" i="17"/>
  <c r="N14" i="17"/>
  <c r="O14" i="17"/>
  <c r="Q36" i="17"/>
  <c r="O36" i="17"/>
  <c r="P36" i="17"/>
  <c r="N36" i="17"/>
  <c r="O51" i="17"/>
  <c r="N51" i="17"/>
  <c r="Q51" i="17"/>
  <c r="P51" i="17"/>
  <c r="O50" i="17"/>
  <c r="Q50" i="17"/>
  <c r="P50" i="17"/>
  <c r="N50" i="17"/>
  <c r="Q22" i="17"/>
  <c r="P22" i="17"/>
  <c r="O22" i="17"/>
  <c r="N22" i="17"/>
  <c r="O61" i="17"/>
  <c r="N61" i="17"/>
  <c r="Q61" i="17"/>
  <c r="P61" i="17"/>
  <c r="Q20" i="17"/>
  <c r="P20" i="17"/>
  <c r="N20" i="17"/>
  <c r="O20" i="17"/>
  <c r="Q54" i="17"/>
  <c r="O54" i="17"/>
  <c r="P54" i="17"/>
  <c r="N54" i="17"/>
  <c r="O35" i="17"/>
  <c r="N35" i="17"/>
  <c r="P35" i="17"/>
  <c r="Q35" i="17"/>
  <c r="O29" i="17"/>
  <c r="N29" i="17"/>
  <c r="Q29" i="17"/>
  <c r="P29" i="17"/>
  <c r="Q52" i="17"/>
  <c r="P52" i="17"/>
  <c r="O52" i="17"/>
  <c r="N52" i="17"/>
  <c r="O27" i="17"/>
  <c r="N27" i="17"/>
  <c r="P27" i="17"/>
  <c r="Q27" i="17"/>
  <c r="O58" i="17"/>
  <c r="Q58" i="17"/>
  <c r="P58" i="17"/>
  <c r="N58" i="17"/>
  <c r="O17" i="17"/>
  <c r="N17" i="17"/>
  <c r="P17" i="17"/>
  <c r="Q17" i="17"/>
  <c r="O19" i="17"/>
  <c r="N19" i="17"/>
  <c r="P19" i="17"/>
  <c r="Q19" i="17"/>
  <c r="O47" i="17"/>
  <c r="N47" i="17"/>
  <c r="Q47" i="17"/>
  <c r="P47" i="17"/>
  <c r="Q12" i="17"/>
  <c r="P12" i="17"/>
  <c r="O12" i="17"/>
  <c r="N12" i="17"/>
  <c r="O37" i="17"/>
  <c r="N37" i="17"/>
  <c r="P37" i="17"/>
  <c r="Q37" i="17"/>
  <c r="O31" i="17"/>
  <c r="N31" i="17"/>
  <c r="Q31" i="17"/>
  <c r="P31" i="17"/>
  <c r="O33" i="17"/>
  <c r="N33" i="17"/>
  <c r="Q33" i="17"/>
  <c r="P33" i="17"/>
  <c r="Q42" i="17"/>
  <c r="O42" i="17"/>
  <c r="P42" i="17"/>
  <c r="N42" i="17"/>
  <c r="Q24" i="17"/>
  <c r="P24" i="17"/>
  <c r="O24" i="17"/>
  <c r="N24" i="17"/>
  <c r="O56" i="17"/>
  <c r="Q56" i="17"/>
  <c r="P56" i="17"/>
  <c r="N56" i="17"/>
  <c r="O59" i="17"/>
  <c r="N59" i="17"/>
  <c r="Q59" i="17"/>
  <c r="P59" i="17"/>
  <c r="O25" i="17"/>
  <c r="N25" i="17"/>
  <c r="P25" i="17"/>
  <c r="Q25" i="17"/>
  <c r="Q46" i="17"/>
  <c r="P46" i="17"/>
  <c r="O46" i="17"/>
  <c r="N46" i="17"/>
  <c r="O15" i="17"/>
  <c r="N15" i="17"/>
  <c r="P15" i="17"/>
  <c r="Q15" i="17"/>
  <c r="AB106" i="7"/>
  <c r="AB105" i="7"/>
  <c r="AB104" i="7"/>
  <c r="AB103" i="7"/>
  <c r="AB102" i="7"/>
  <c r="AB101" i="7"/>
  <c r="AB100" i="7"/>
  <c r="AB99" i="7"/>
  <c r="AB98" i="7"/>
  <c r="AB97" i="7"/>
  <c r="AB96" i="7"/>
  <c r="AB95" i="7"/>
  <c r="AB94" i="7"/>
  <c r="AB93" i="7"/>
  <c r="AB92" i="7"/>
  <c r="AB91" i="7"/>
  <c r="AB90" i="7"/>
  <c r="AB89" i="7"/>
  <c r="AB88" i="7"/>
  <c r="AB87" i="7"/>
  <c r="AB86" i="7"/>
  <c r="AB85" i="7"/>
  <c r="AB84" i="7"/>
  <c r="AB83" i="7"/>
  <c r="AB82" i="7"/>
  <c r="AB81" i="7"/>
  <c r="AB80" i="7"/>
  <c r="AB79" i="7"/>
  <c r="AB78" i="7"/>
  <c r="AB77" i="7"/>
  <c r="AB76" i="7"/>
  <c r="AB75" i="7"/>
  <c r="AB74" i="7"/>
  <c r="AB73" i="7"/>
  <c r="AB72" i="7"/>
  <c r="AB71" i="7"/>
  <c r="AB70" i="7"/>
  <c r="AB69" i="7"/>
  <c r="AB68" i="7"/>
  <c r="AB67" i="7"/>
  <c r="AB66" i="7"/>
  <c r="AB65" i="7"/>
  <c r="AB64" i="7"/>
  <c r="AB63" i="7"/>
  <c r="AB62" i="7"/>
  <c r="AB61" i="7"/>
  <c r="AB60" i="7"/>
  <c r="AB59" i="7"/>
  <c r="AB58" i="7"/>
  <c r="AB57" i="7"/>
  <c r="AB56" i="7"/>
  <c r="AB55" i="7"/>
  <c r="AB54" i="7"/>
  <c r="AB53" i="7"/>
  <c r="AB52" i="7"/>
  <c r="AB51" i="7"/>
  <c r="AB50" i="7"/>
  <c r="AB49" i="7"/>
  <c r="AB48" i="7"/>
  <c r="AB47" i="7"/>
  <c r="AB46" i="7"/>
  <c r="AB45" i="7"/>
  <c r="AB44" i="7"/>
  <c r="AB43" i="7"/>
  <c r="AB42" i="7"/>
  <c r="AB41" i="7"/>
  <c r="AB40" i="7"/>
  <c r="AB39" i="7"/>
  <c r="AB38" i="7"/>
  <c r="AB37" i="7"/>
  <c r="AB36" i="7"/>
  <c r="AB35" i="7"/>
  <c r="AB34" i="7"/>
  <c r="AB33" i="7"/>
  <c r="AB32" i="7"/>
  <c r="AB31" i="7"/>
  <c r="AB30" i="7"/>
  <c r="AB29" i="7"/>
  <c r="AB28" i="7"/>
  <c r="AB27" i="7"/>
  <c r="AB26" i="7"/>
  <c r="AB25" i="7"/>
  <c r="AB24" i="7"/>
  <c r="AB23" i="7"/>
  <c r="AB22" i="7"/>
  <c r="AB21" i="7"/>
  <c r="AB20" i="7"/>
  <c r="AB19" i="7"/>
  <c r="AB18" i="7"/>
  <c r="AB17" i="7"/>
  <c r="AB16" i="7"/>
  <c r="AB15" i="7"/>
  <c r="AB14" i="7"/>
  <c r="AB13" i="7"/>
  <c r="AB12" i="7"/>
  <c r="AB11" i="7"/>
  <c r="AB10" i="7"/>
  <c r="AB9" i="7"/>
  <c r="AB8" i="7"/>
  <c r="AB7" i="7"/>
  <c r="AB6" i="7"/>
  <c r="K7" i="1"/>
  <c r="K6" i="1"/>
  <c r="K5" i="1"/>
  <c r="T3" i="23" s="1"/>
  <c r="U6" i="23" s="1"/>
  <c r="AC6" i="23" s="1"/>
  <c r="N10" i="17" l="1"/>
  <c r="U5" i="17" s="1"/>
  <c r="O10" i="17"/>
  <c r="V5" i="17" s="1"/>
  <c r="P10" i="17"/>
  <c r="W5" i="17" s="1"/>
  <c r="Q10" i="17"/>
  <c r="X5" i="17" s="1"/>
  <c r="T5" i="23"/>
  <c r="S3" i="17"/>
  <c r="T6" i="17" s="1"/>
  <c r="S3" i="22"/>
  <c r="S5" i="17"/>
  <c r="S5" i="22"/>
  <c r="R5" i="22" s="1"/>
  <c r="I8" i="1"/>
  <c r="T4" i="23" s="1"/>
  <c r="L4" i="11"/>
  <c r="G4" i="11"/>
  <c r="U6" i="22" l="1"/>
  <c r="P5" i="6" s="1"/>
  <c r="R3" i="22"/>
  <c r="T6" i="22" s="1"/>
  <c r="U7" i="23"/>
  <c r="AC7" i="23" s="1"/>
  <c r="S4" i="17"/>
  <c r="T7" i="17" s="1"/>
  <c r="T8" i="17" s="1"/>
  <c r="T9" i="17" s="1"/>
  <c r="T10" i="17" s="1"/>
  <c r="T11" i="17" s="1"/>
  <c r="T12" i="17" s="1"/>
  <c r="T13" i="17" s="1"/>
  <c r="T14" i="17" s="1"/>
  <c r="T15" i="17" s="1"/>
  <c r="T16" i="17" s="1"/>
  <c r="T17" i="17" s="1"/>
  <c r="T18" i="17" s="1"/>
  <c r="T19" i="17" s="1"/>
  <c r="T20" i="17" s="1"/>
  <c r="T21" i="17" s="1"/>
  <c r="T22" i="17" s="1"/>
  <c r="T23" i="17" s="1"/>
  <c r="T24" i="17" s="1"/>
  <c r="T25" i="17" s="1"/>
  <c r="T26" i="17" s="1"/>
  <c r="T27" i="17" s="1"/>
  <c r="T28" i="17" s="1"/>
  <c r="T29" i="17" s="1"/>
  <c r="T30" i="17" s="1"/>
  <c r="T31" i="17" s="1"/>
  <c r="T32" i="17" s="1"/>
  <c r="T33" i="17" s="1"/>
  <c r="T34" i="17" s="1"/>
  <c r="T35" i="17" s="1"/>
  <c r="T36" i="17" s="1"/>
  <c r="T37" i="17" s="1"/>
  <c r="T38" i="17" s="1"/>
  <c r="T39" i="17" s="1"/>
  <c r="T40" i="17" s="1"/>
  <c r="T41" i="17" s="1"/>
  <c r="T42" i="17" s="1"/>
  <c r="T43" i="17" s="1"/>
  <c r="T44" i="17" s="1"/>
  <c r="T45" i="17" s="1"/>
  <c r="T46" i="17" s="1"/>
  <c r="T47" i="17" s="1"/>
  <c r="T48" i="17" s="1"/>
  <c r="T49" i="17" s="1"/>
  <c r="T50" i="17" s="1"/>
  <c r="T51" i="17" s="1"/>
  <c r="T52" i="17" s="1"/>
  <c r="T53" i="17" s="1"/>
  <c r="T54" i="17" s="1"/>
  <c r="T55" i="17" s="1"/>
  <c r="T56" i="17" s="1"/>
  <c r="T57" i="17" s="1"/>
  <c r="T58" i="17" s="1"/>
  <c r="T59" i="17" s="1"/>
  <c r="T60" i="17" s="1"/>
  <c r="T61" i="17" s="1"/>
  <c r="T62" i="17" s="1"/>
  <c r="T63" i="17" s="1"/>
  <c r="T64" i="17" s="1"/>
  <c r="T65" i="17" s="1"/>
  <c r="T66" i="17" s="1"/>
  <c r="T67" i="17" s="1"/>
  <c r="T68" i="17" s="1"/>
  <c r="T69" i="17" s="1"/>
  <c r="T70" i="17" s="1"/>
  <c r="T71" i="17" s="1"/>
  <c r="T72" i="17" s="1"/>
  <c r="T73" i="17" s="1"/>
  <c r="T74" i="17" s="1"/>
  <c r="T75" i="17" s="1"/>
  <c r="T76" i="17" s="1"/>
  <c r="T77" i="17" s="1"/>
  <c r="T78" i="17" s="1"/>
  <c r="T79" i="17" s="1"/>
  <c r="T80" i="17" s="1"/>
  <c r="T81" i="17" s="1"/>
  <c r="T82" i="17" s="1"/>
  <c r="T83" i="17" s="1"/>
  <c r="T84" i="17" s="1"/>
  <c r="T85" i="17" s="1"/>
  <c r="T86" i="17" s="1"/>
  <c r="T87" i="17" s="1"/>
  <c r="T88" i="17" s="1"/>
  <c r="T89" i="17" s="1"/>
  <c r="T90" i="17" s="1"/>
  <c r="T91" i="17" s="1"/>
  <c r="T92" i="17" s="1"/>
  <c r="T93" i="17" s="1"/>
  <c r="T94" i="17" s="1"/>
  <c r="T95" i="17" s="1"/>
  <c r="T96" i="17" s="1"/>
  <c r="T97" i="17" s="1"/>
  <c r="T98" i="17" s="1"/>
  <c r="T99" i="17" s="1"/>
  <c r="T100" i="17" s="1"/>
  <c r="T101" i="17" s="1"/>
  <c r="T102" i="17" s="1"/>
  <c r="T103" i="17" s="1"/>
  <c r="T104" i="17" s="1"/>
  <c r="T105" i="17" s="1"/>
  <c r="T106" i="17" s="1"/>
  <c r="T107" i="17" s="1"/>
  <c r="S4" i="22"/>
  <c r="U106" i="8"/>
  <c r="U105" i="8"/>
  <c r="U104" i="8"/>
  <c r="U103" i="8"/>
  <c r="U102" i="8"/>
  <c r="U101" i="8"/>
  <c r="U100" i="8"/>
  <c r="U99" i="8"/>
  <c r="U98" i="8"/>
  <c r="U97" i="8"/>
  <c r="U96" i="8"/>
  <c r="U95" i="8"/>
  <c r="U94" i="8"/>
  <c r="U93" i="8"/>
  <c r="U92" i="8"/>
  <c r="U91" i="8"/>
  <c r="U90" i="8"/>
  <c r="U89" i="8"/>
  <c r="U88" i="8"/>
  <c r="U87" i="8"/>
  <c r="U86" i="8"/>
  <c r="U85" i="8"/>
  <c r="U84" i="8"/>
  <c r="U83" i="8"/>
  <c r="U82" i="8"/>
  <c r="U81" i="8"/>
  <c r="U80" i="8"/>
  <c r="U79" i="8"/>
  <c r="U78" i="8"/>
  <c r="U77" i="8"/>
  <c r="U76" i="8"/>
  <c r="U75" i="8"/>
  <c r="U74" i="8"/>
  <c r="U73" i="8"/>
  <c r="U72" i="8"/>
  <c r="U71" i="8"/>
  <c r="U70" i="8"/>
  <c r="U69" i="8"/>
  <c r="U68" i="8"/>
  <c r="U67" i="8"/>
  <c r="U66" i="8"/>
  <c r="U65" i="8"/>
  <c r="U64" i="8"/>
  <c r="U63" i="8"/>
  <c r="U62" i="8"/>
  <c r="U61" i="8"/>
  <c r="U60" i="8"/>
  <c r="U59" i="8"/>
  <c r="U58" i="8"/>
  <c r="U57" i="8"/>
  <c r="U56" i="8"/>
  <c r="U55" i="8"/>
  <c r="U54" i="8"/>
  <c r="U53" i="8"/>
  <c r="U52" i="8"/>
  <c r="U51" i="8"/>
  <c r="U50" i="8"/>
  <c r="U49" i="8"/>
  <c r="U48" i="8"/>
  <c r="U47" i="8"/>
  <c r="U46" i="8"/>
  <c r="U45" i="8"/>
  <c r="U44" i="8"/>
  <c r="U43" i="8"/>
  <c r="U42" i="8"/>
  <c r="U41" i="8"/>
  <c r="U40" i="8"/>
  <c r="U39" i="8"/>
  <c r="U38" i="8"/>
  <c r="U37" i="8"/>
  <c r="U36" i="8"/>
  <c r="U35" i="8"/>
  <c r="U34" i="8"/>
  <c r="U33" i="8"/>
  <c r="U32" i="8"/>
  <c r="U31" i="8"/>
  <c r="U30" i="8"/>
  <c r="U29" i="8"/>
  <c r="U28" i="8"/>
  <c r="U27" i="8"/>
  <c r="U26" i="8"/>
  <c r="U25" i="8"/>
  <c r="U24" i="8"/>
  <c r="U23" i="8"/>
  <c r="U22" i="8"/>
  <c r="U21" i="8"/>
  <c r="U20" i="8"/>
  <c r="U19" i="8"/>
  <c r="U18" i="8"/>
  <c r="U17" i="8"/>
  <c r="U16" i="8"/>
  <c r="U15" i="8"/>
  <c r="U14" i="8"/>
  <c r="U13" i="8"/>
  <c r="U12" i="8"/>
  <c r="U11" i="8"/>
  <c r="U10" i="8"/>
  <c r="U9" i="8"/>
  <c r="U8" i="8"/>
  <c r="U7" i="8"/>
  <c r="U6" i="8"/>
  <c r="U5" i="8"/>
  <c r="U107" i="7"/>
  <c r="V107" i="7"/>
  <c r="AB107" i="7" s="1"/>
  <c r="W107" i="7"/>
  <c r="X107" i="7"/>
  <c r="S8" i="7"/>
  <c r="S9" i="7" s="1"/>
  <c r="S10" i="7" s="1"/>
  <c r="S11" i="7" s="1"/>
  <c r="S12" i="7" s="1"/>
  <c r="S13" i="7" s="1"/>
  <c r="S14" i="7" s="1"/>
  <c r="S15" i="7" s="1"/>
  <c r="S16" i="7" s="1"/>
  <c r="S17" i="7" s="1"/>
  <c r="S18" i="7" s="1"/>
  <c r="S19" i="7" s="1"/>
  <c r="S20" i="7" s="1"/>
  <c r="S21" i="7" s="1"/>
  <c r="S22" i="7" s="1"/>
  <c r="S23" i="7" s="1"/>
  <c r="S24" i="7" s="1"/>
  <c r="S25" i="7" s="1"/>
  <c r="S26" i="7" s="1"/>
  <c r="S27" i="7" s="1"/>
  <c r="S28" i="7" s="1"/>
  <c r="S29" i="7" s="1"/>
  <c r="S30" i="7" s="1"/>
  <c r="S31" i="7" s="1"/>
  <c r="S32" i="7" s="1"/>
  <c r="S33" i="7" s="1"/>
  <c r="S34" i="7" s="1"/>
  <c r="S35" i="7" s="1"/>
  <c r="S36" i="7" s="1"/>
  <c r="S37" i="7" s="1"/>
  <c r="S38" i="7" s="1"/>
  <c r="S39" i="7" s="1"/>
  <c r="S40" i="7" s="1"/>
  <c r="S41" i="7" s="1"/>
  <c r="S42" i="7" s="1"/>
  <c r="S43" i="7" s="1"/>
  <c r="S44" i="7" s="1"/>
  <c r="S45" i="7" s="1"/>
  <c r="S46" i="7" s="1"/>
  <c r="S47" i="7" s="1"/>
  <c r="S48" i="7" s="1"/>
  <c r="S49" i="7" s="1"/>
  <c r="S50" i="7" s="1"/>
  <c r="S51" i="7" s="1"/>
  <c r="S52" i="7" s="1"/>
  <c r="S53" i="7" s="1"/>
  <c r="S54" i="7" s="1"/>
  <c r="S55" i="7" s="1"/>
  <c r="S56" i="7" s="1"/>
  <c r="S57" i="7" s="1"/>
  <c r="S58" i="7" s="1"/>
  <c r="S59" i="7" s="1"/>
  <c r="S60" i="7" s="1"/>
  <c r="S61" i="7" s="1"/>
  <c r="S62" i="7" s="1"/>
  <c r="S63" i="7" s="1"/>
  <c r="S64" i="7" s="1"/>
  <c r="S65" i="7" s="1"/>
  <c r="S66" i="7" s="1"/>
  <c r="S67" i="7" s="1"/>
  <c r="S68" i="7" s="1"/>
  <c r="S69" i="7" s="1"/>
  <c r="S70" i="7" s="1"/>
  <c r="S71" i="7" s="1"/>
  <c r="S72" i="7" s="1"/>
  <c r="S73" i="7" s="1"/>
  <c r="S74" i="7" s="1"/>
  <c r="S75" i="7" s="1"/>
  <c r="S76" i="7" s="1"/>
  <c r="S77" i="7" s="1"/>
  <c r="S78" i="7" s="1"/>
  <c r="S79" i="7" s="1"/>
  <c r="S80" i="7" s="1"/>
  <c r="S81" i="7" s="1"/>
  <c r="S82" i="7" s="1"/>
  <c r="S83" i="7" s="1"/>
  <c r="S84" i="7" s="1"/>
  <c r="S85" i="7" s="1"/>
  <c r="S86" i="7" s="1"/>
  <c r="S87" i="7" s="1"/>
  <c r="S88" i="7" s="1"/>
  <c r="S89" i="7" s="1"/>
  <c r="S90" i="7" s="1"/>
  <c r="S91" i="7" s="1"/>
  <c r="S92" i="7" s="1"/>
  <c r="S93" i="7" s="1"/>
  <c r="S94" i="7" s="1"/>
  <c r="S95" i="7" s="1"/>
  <c r="S96" i="7" s="1"/>
  <c r="S97" i="7" s="1"/>
  <c r="S98" i="7" s="1"/>
  <c r="S99" i="7" s="1"/>
  <c r="S100" i="7" s="1"/>
  <c r="S101" i="7" s="1"/>
  <c r="S102" i="7" s="1"/>
  <c r="S103" i="7" s="1"/>
  <c r="S104" i="7" s="1"/>
  <c r="S105" i="7" s="1"/>
  <c r="S106" i="7" s="1"/>
  <c r="S107" i="7" s="1"/>
  <c r="S7" i="7"/>
  <c r="Q18" i="7"/>
  <c r="Q65" i="7"/>
  <c r="K11" i="7"/>
  <c r="AC6" i="22" l="1"/>
  <c r="AB6" i="22"/>
  <c r="A5" i="6"/>
  <c r="U8" i="23"/>
  <c r="AC8" i="23" s="1"/>
  <c r="U7" i="22"/>
  <c r="P6" i="6" s="1"/>
  <c r="N15" i="7"/>
  <c r="O18" i="7"/>
  <c r="N65" i="7"/>
  <c r="O65" i="7"/>
  <c r="P65" i="7"/>
  <c r="N18" i="7"/>
  <c r="P18" i="7"/>
  <c r="S7" i="1"/>
  <c r="U9" i="23" l="1"/>
  <c r="AC9" i="23" s="1"/>
  <c r="U8" i="22"/>
  <c r="P7" i="6" s="1"/>
  <c r="AC7" i="22"/>
  <c r="N13" i="7"/>
  <c r="Q20" i="7"/>
  <c r="O15" i="7"/>
  <c r="Q16" i="7"/>
  <c r="O16" i="7"/>
  <c r="N16" i="7"/>
  <c r="P16" i="7"/>
  <c r="N17" i="7"/>
  <c r="Q12" i="7"/>
  <c r="P15" i="7"/>
  <c r="Q15" i="7"/>
  <c r="S5" i="7"/>
  <c r="J7" i="1"/>
  <c r="AY13" i="5"/>
  <c r="AY12" i="5"/>
  <c r="AY11" i="5"/>
  <c r="AY10" i="5"/>
  <c r="AY9" i="5"/>
  <c r="AY8" i="5"/>
  <c r="AY7" i="5"/>
  <c r="AY6" i="5"/>
  <c r="AY5" i="5"/>
  <c r="AY4" i="5"/>
  <c r="U52" i="1"/>
  <c r="U50" i="1"/>
  <c r="U46" i="1"/>
  <c r="U47" i="1"/>
  <c r="U51" i="1"/>
  <c r="U49" i="1"/>
  <c r="U48" i="1"/>
  <c r="U45" i="1"/>
  <c r="U44" i="1"/>
  <c r="U43" i="1"/>
  <c r="U10" i="23" l="1"/>
  <c r="AC10" i="23" s="1"/>
  <c r="R4" i="22"/>
  <c r="U9" i="22"/>
  <c r="P8" i="6" s="1"/>
  <c r="AC8" i="22"/>
  <c r="P20" i="7"/>
  <c r="O20" i="7"/>
  <c r="P13" i="7"/>
  <c r="O13" i="7"/>
  <c r="Q13" i="7"/>
  <c r="N20" i="7"/>
  <c r="B2" i="12"/>
  <c r="S3" i="7"/>
  <c r="T6" i="7" s="1"/>
  <c r="O12" i="7"/>
  <c r="Q21" i="7"/>
  <c r="N21" i="7"/>
  <c r="P21" i="7"/>
  <c r="O21" i="7"/>
  <c r="N12" i="7"/>
  <c r="Q19" i="7"/>
  <c r="P19" i="7"/>
  <c r="N19" i="7"/>
  <c r="O19" i="7"/>
  <c r="Q14" i="7"/>
  <c r="N14" i="7"/>
  <c r="O14" i="7"/>
  <c r="P14" i="7"/>
  <c r="Q17" i="7"/>
  <c r="O17" i="7"/>
  <c r="P17" i="7"/>
  <c r="P12" i="7"/>
  <c r="A5" i="12"/>
  <c r="D106" i="9"/>
  <c r="C106" i="9"/>
  <c r="D105" i="9"/>
  <c r="C105" i="9"/>
  <c r="D104" i="9"/>
  <c r="C104" i="9"/>
  <c r="D103" i="9"/>
  <c r="C103" i="9"/>
  <c r="D102" i="9"/>
  <c r="C102" i="9"/>
  <c r="D101" i="9"/>
  <c r="C101" i="9"/>
  <c r="D100" i="9"/>
  <c r="C100" i="9"/>
  <c r="D99" i="9"/>
  <c r="C99" i="9"/>
  <c r="D98" i="9"/>
  <c r="C98" i="9"/>
  <c r="D97" i="9"/>
  <c r="C97" i="9"/>
  <c r="D96" i="9"/>
  <c r="C96" i="9"/>
  <c r="D95" i="9"/>
  <c r="C95" i="9"/>
  <c r="D94" i="9"/>
  <c r="C94" i="9"/>
  <c r="D93" i="9"/>
  <c r="C93" i="9"/>
  <c r="D92" i="9"/>
  <c r="C92" i="9"/>
  <c r="D91" i="9"/>
  <c r="C91" i="9"/>
  <c r="D90" i="9"/>
  <c r="C90" i="9"/>
  <c r="D89" i="9"/>
  <c r="C89" i="9"/>
  <c r="D88" i="9"/>
  <c r="C88" i="9"/>
  <c r="D87" i="9"/>
  <c r="C87" i="9"/>
  <c r="D86" i="9"/>
  <c r="C86" i="9"/>
  <c r="D85" i="9"/>
  <c r="C85" i="9"/>
  <c r="D84" i="9"/>
  <c r="C84" i="9"/>
  <c r="D83" i="9"/>
  <c r="C83" i="9"/>
  <c r="D82" i="9"/>
  <c r="C82" i="9"/>
  <c r="D81" i="9"/>
  <c r="C81" i="9"/>
  <c r="D80" i="9"/>
  <c r="C80" i="9"/>
  <c r="D79" i="9"/>
  <c r="C79" i="9"/>
  <c r="D78" i="9"/>
  <c r="C78" i="9"/>
  <c r="D77" i="9"/>
  <c r="C77" i="9"/>
  <c r="D76" i="9"/>
  <c r="C76" i="9"/>
  <c r="D75" i="9"/>
  <c r="C75" i="9"/>
  <c r="D74" i="9"/>
  <c r="C74" i="9"/>
  <c r="D73" i="9"/>
  <c r="C73" i="9"/>
  <c r="D72" i="9"/>
  <c r="C72" i="9"/>
  <c r="D71" i="9"/>
  <c r="C71" i="9"/>
  <c r="D70" i="9"/>
  <c r="C70" i="9"/>
  <c r="D69" i="9"/>
  <c r="C69" i="9"/>
  <c r="D68" i="9"/>
  <c r="C68" i="9"/>
  <c r="D67" i="9"/>
  <c r="C67" i="9"/>
  <c r="D66" i="9"/>
  <c r="C66" i="9"/>
  <c r="D65" i="9"/>
  <c r="C65" i="9"/>
  <c r="D64" i="9"/>
  <c r="C64" i="9"/>
  <c r="D63" i="9"/>
  <c r="C63" i="9"/>
  <c r="D62" i="9"/>
  <c r="C62" i="9"/>
  <c r="D61" i="9"/>
  <c r="C61" i="9"/>
  <c r="D60" i="9"/>
  <c r="C60" i="9"/>
  <c r="D59" i="9"/>
  <c r="C59" i="9"/>
  <c r="D58" i="9"/>
  <c r="C58" i="9"/>
  <c r="D57" i="9"/>
  <c r="C57" i="9"/>
  <c r="D56" i="9"/>
  <c r="C56" i="9"/>
  <c r="D55" i="9"/>
  <c r="C55" i="9"/>
  <c r="D54" i="9"/>
  <c r="C54" i="9"/>
  <c r="D53" i="9"/>
  <c r="C53" i="9"/>
  <c r="D52" i="9"/>
  <c r="C52" i="9"/>
  <c r="D51" i="9"/>
  <c r="C51" i="9"/>
  <c r="D50" i="9"/>
  <c r="C50" i="9"/>
  <c r="D49" i="9"/>
  <c r="C49" i="9"/>
  <c r="D48" i="9"/>
  <c r="C48" i="9"/>
  <c r="D47" i="9"/>
  <c r="C47" i="9"/>
  <c r="D46" i="9"/>
  <c r="C46" i="9"/>
  <c r="D45" i="9"/>
  <c r="C45" i="9"/>
  <c r="D44" i="9"/>
  <c r="C44" i="9"/>
  <c r="D43" i="9"/>
  <c r="C43" i="9"/>
  <c r="D42" i="9"/>
  <c r="C42" i="9"/>
  <c r="D41" i="9"/>
  <c r="C41" i="9"/>
  <c r="D40" i="9"/>
  <c r="C40" i="9"/>
  <c r="D39" i="9"/>
  <c r="C39" i="9"/>
  <c r="D38" i="9"/>
  <c r="C38" i="9"/>
  <c r="D37" i="9"/>
  <c r="C37" i="9"/>
  <c r="D36" i="9"/>
  <c r="C36" i="9"/>
  <c r="D35" i="9"/>
  <c r="C35" i="9"/>
  <c r="D34" i="9"/>
  <c r="C34" i="9"/>
  <c r="D33" i="9"/>
  <c r="C33" i="9"/>
  <c r="D32" i="9"/>
  <c r="C32" i="9"/>
  <c r="D31" i="9"/>
  <c r="C31" i="9"/>
  <c r="D30" i="9"/>
  <c r="C30" i="9"/>
  <c r="D29" i="9"/>
  <c r="C29" i="9"/>
  <c r="D28" i="9"/>
  <c r="C28" i="9"/>
  <c r="D27" i="9"/>
  <c r="C27" i="9"/>
  <c r="D26" i="9"/>
  <c r="C26" i="9"/>
  <c r="D25" i="9"/>
  <c r="C25" i="9"/>
  <c r="D24" i="9"/>
  <c r="C24" i="9"/>
  <c r="D23" i="9"/>
  <c r="C23" i="9"/>
  <c r="D22" i="9"/>
  <c r="C22" i="9"/>
  <c r="D21" i="9"/>
  <c r="C21" i="9"/>
  <c r="D20" i="9"/>
  <c r="C20" i="9"/>
  <c r="D19" i="9"/>
  <c r="C19" i="9"/>
  <c r="D18" i="9"/>
  <c r="C18" i="9"/>
  <c r="D17" i="9"/>
  <c r="C17" i="9"/>
  <c r="D16" i="9"/>
  <c r="C16" i="9"/>
  <c r="D15" i="9"/>
  <c r="C15" i="9"/>
  <c r="D14" i="9"/>
  <c r="C14" i="9"/>
  <c r="D13" i="9"/>
  <c r="C13" i="9"/>
  <c r="D12" i="9"/>
  <c r="C12" i="9"/>
  <c r="D11" i="9"/>
  <c r="C11" i="9"/>
  <c r="D10" i="9"/>
  <c r="C10" i="9"/>
  <c r="D9" i="9"/>
  <c r="C9" i="9"/>
  <c r="D8" i="9"/>
  <c r="C8" i="9"/>
  <c r="D7" i="9"/>
  <c r="C7" i="9"/>
  <c r="D6" i="9"/>
  <c r="C6" i="9"/>
  <c r="D106" i="3"/>
  <c r="C106" i="3"/>
  <c r="D105" i="3"/>
  <c r="C105" i="3"/>
  <c r="D104" i="3"/>
  <c r="C104" i="3"/>
  <c r="D103" i="3"/>
  <c r="C103" i="3"/>
  <c r="D102" i="3"/>
  <c r="C102" i="3"/>
  <c r="D101" i="3"/>
  <c r="C101" i="3"/>
  <c r="D100" i="3"/>
  <c r="C100" i="3"/>
  <c r="D99" i="3"/>
  <c r="C99" i="3"/>
  <c r="D98" i="3"/>
  <c r="C98" i="3"/>
  <c r="D97" i="3"/>
  <c r="C97" i="3"/>
  <c r="D96" i="3"/>
  <c r="C96" i="3"/>
  <c r="D95" i="3"/>
  <c r="C95" i="3"/>
  <c r="D94" i="3"/>
  <c r="C94" i="3"/>
  <c r="D93" i="3"/>
  <c r="C93" i="3"/>
  <c r="D92" i="3"/>
  <c r="C92" i="3"/>
  <c r="D91" i="3"/>
  <c r="C91" i="3"/>
  <c r="D90" i="3"/>
  <c r="C90" i="3"/>
  <c r="D89" i="3"/>
  <c r="C89" i="3"/>
  <c r="D88" i="3"/>
  <c r="C88" i="3"/>
  <c r="D87" i="3"/>
  <c r="C87" i="3"/>
  <c r="D86" i="3"/>
  <c r="C86" i="3"/>
  <c r="D85" i="3"/>
  <c r="C85" i="3"/>
  <c r="D84" i="3"/>
  <c r="C84" i="3"/>
  <c r="D83" i="3"/>
  <c r="C83" i="3"/>
  <c r="D82" i="3"/>
  <c r="C82" i="3"/>
  <c r="D81" i="3"/>
  <c r="C81" i="3"/>
  <c r="D80" i="3"/>
  <c r="C80" i="3"/>
  <c r="D79" i="3"/>
  <c r="C79" i="3"/>
  <c r="D78" i="3"/>
  <c r="C78" i="3"/>
  <c r="D77" i="3"/>
  <c r="C77" i="3"/>
  <c r="D76" i="3"/>
  <c r="C76" i="3"/>
  <c r="D75" i="3"/>
  <c r="C75" i="3"/>
  <c r="D74" i="3"/>
  <c r="C74" i="3"/>
  <c r="D73" i="3"/>
  <c r="C73" i="3"/>
  <c r="D72" i="3"/>
  <c r="C72" i="3"/>
  <c r="D71" i="3"/>
  <c r="C71" i="3"/>
  <c r="D70" i="3"/>
  <c r="C70" i="3"/>
  <c r="D69" i="3"/>
  <c r="C69" i="3"/>
  <c r="D68" i="3"/>
  <c r="C68" i="3"/>
  <c r="D67" i="3"/>
  <c r="C67" i="3"/>
  <c r="D66" i="3"/>
  <c r="C66" i="3"/>
  <c r="D65" i="3"/>
  <c r="C65" i="3"/>
  <c r="D64" i="3"/>
  <c r="C64" i="3"/>
  <c r="D63" i="3"/>
  <c r="C63" i="3"/>
  <c r="D62" i="3"/>
  <c r="C62" i="3"/>
  <c r="D61" i="3"/>
  <c r="C61" i="3"/>
  <c r="D60" i="3"/>
  <c r="C60" i="3"/>
  <c r="D59" i="3"/>
  <c r="C59" i="3"/>
  <c r="D58" i="3"/>
  <c r="C58" i="3"/>
  <c r="D57" i="3"/>
  <c r="C57" i="3"/>
  <c r="D56" i="3"/>
  <c r="C56" i="3"/>
  <c r="D55" i="3"/>
  <c r="C55" i="3"/>
  <c r="D54" i="3"/>
  <c r="C54" i="3"/>
  <c r="D53" i="3"/>
  <c r="C53" i="3"/>
  <c r="D52" i="3"/>
  <c r="C52" i="3"/>
  <c r="D51" i="3"/>
  <c r="C51" i="3"/>
  <c r="D50" i="3"/>
  <c r="C50" i="3"/>
  <c r="D49" i="3"/>
  <c r="C49" i="3"/>
  <c r="D48" i="3"/>
  <c r="C48" i="3"/>
  <c r="D47" i="3"/>
  <c r="C47" i="3"/>
  <c r="D46" i="3"/>
  <c r="C46" i="3"/>
  <c r="D45" i="3"/>
  <c r="C45" i="3"/>
  <c r="D44" i="3"/>
  <c r="C44" i="3"/>
  <c r="D43" i="3"/>
  <c r="C43" i="3"/>
  <c r="D42" i="3"/>
  <c r="C42" i="3"/>
  <c r="D41" i="3"/>
  <c r="C41" i="3"/>
  <c r="D40" i="3"/>
  <c r="C40" i="3"/>
  <c r="D39" i="3"/>
  <c r="C39" i="3"/>
  <c r="D38" i="3"/>
  <c r="C38" i="3"/>
  <c r="D37" i="3"/>
  <c r="C37" i="3"/>
  <c r="D36" i="3"/>
  <c r="C36" i="3"/>
  <c r="D35" i="3"/>
  <c r="C35" i="3"/>
  <c r="D34" i="3"/>
  <c r="C34" i="3"/>
  <c r="D33" i="3"/>
  <c r="C33" i="3"/>
  <c r="D32" i="3"/>
  <c r="C32" i="3"/>
  <c r="D31" i="3"/>
  <c r="C31" i="3"/>
  <c r="D30" i="3"/>
  <c r="C30" i="3"/>
  <c r="D29" i="3"/>
  <c r="C29" i="3"/>
  <c r="D28" i="3"/>
  <c r="C28" i="3"/>
  <c r="D27" i="3"/>
  <c r="C27" i="3"/>
  <c r="D26" i="3"/>
  <c r="C26" i="3"/>
  <c r="D25" i="3"/>
  <c r="C25" i="3"/>
  <c r="D24" i="3"/>
  <c r="C24" i="3"/>
  <c r="D23" i="3"/>
  <c r="C23" i="3"/>
  <c r="D22" i="3"/>
  <c r="C22" i="3"/>
  <c r="D21" i="3"/>
  <c r="C21" i="3"/>
  <c r="D20" i="3"/>
  <c r="C20" i="3"/>
  <c r="D19" i="3"/>
  <c r="C19" i="3"/>
  <c r="D18" i="3"/>
  <c r="C18" i="3"/>
  <c r="D17" i="3"/>
  <c r="C17" i="3"/>
  <c r="D16" i="3"/>
  <c r="C16" i="3"/>
  <c r="D15" i="3"/>
  <c r="C15" i="3"/>
  <c r="D14" i="3"/>
  <c r="C14" i="3"/>
  <c r="D13" i="3"/>
  <c r="C13" i="3"/>
  <c r="D12" i="3"/>
  <c r="C12" i="3"/>
  <c r="D11" i="3"/>
  <c r="C11" i="3"/>
  <c r="D10" i="3"/>
  <c r="C10" i="3"/>
  <c r="D9" i="3"/>
  <c r="C9" i="3"/>
  <c r="D8" i="3"/>
  <c r="C8" i="3"/>
  <c r="D7" i="3"/>
  <c r="C7" i="3"/>
  <c r="D6" i="3"/>
  <c r="C6" i="3"/>
  <c r="A5" i="11"/>
  <c r="U11" i="23" l="1"/>
  <c r="AC11" i="23" s="1"/>
  <c r="T7" i="22"/>
  <c r="T8" i="22" s="1"/>
  <c r="T9" i="22" s="1"/>
  <c r="U10" i="22"/>
  <c r="P9" i="6" s="1"/>
  <c r="AC9" i="22"/>
  <c r="Q22" i="7"/>
  <c r="O22" i="7"/>
  <c r="N22" i="7"/>
  <c r="P22" i="7"/>
  <c r="D5" i="9"/>
  <c r="C5" i="9"/>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D2" i="9"/>
  <c r="AU13" i="5"/>
  <c r="AU12" i="5"/>
  <c r="AU11" i="5"/>
  <c r="AU10" i="5"/>
  <c r="AU9" i="5"/>
  <c r="AU8" i="5"/>
  <c r="AU7" i="5"/>
  <c r="AU6" i="5"/>
  <c r="AU5" i="5"/>
  <c r="AU4" i="5"/>
  <c r="AF5" i="9"/>
  <c r="U12" i="23" l="1"/>
  <c r="U13" i="23" s="1"/>
  <c r="AB9" i="22"/>
  <c r="A8" i="6"/>
  <c r="T10" i="22"/>
  <c r="AB8" i="22"/>
  <c r="A7" i="6"/>
  <c r="AB7" i="22"/>
  <c r="A6" i="6"/>
  <c r="U11" i="22"/>
  <c r="P10" i="6" s="1"/>
  <c r="AC10" i="22"/>
  <c r="Q23" i="7"/>
  <c r="O23" i="7"/>
  <c r="N23" i="7"/>
  <c r="P23" i="7"/>
  <c r="L5" i="12"/>
  <c r="AF106" i="9"/>
  <c r="AF102" i="9"/>
  <c r="AF98" i="9"/>
  <c r="AF94" i="9"/>
  <c r="AF90" i="9"/>
  <c r="AF86" i="9"/>
  <c r="AF82" i="9"/>
  <c r="AF78" i="9"/>
  <c r="AF74" i="9"/>
  <c r="AF70" i="9"/>
  <c r="AF66" i="9"/>
  <c r="AF62" i="9"/>
  <c r="AF58" i="9"/>
  <c r="AF54" i="9"/>
  <c r="AF50" i="9"/>
  <c r="AF46" i="9"/>
  <c r="AF42" i="9"/>
  <c r="AF38" i="9"/>
  <c r="AF34" i="9"/>
  <c r="AF30" i="9"/>
  <c r="AF26" i="9"/>
  <c r="AF22" i="9"/>
  <c r="AF18" i="9"/>
  <c r="AF14" i="9"/>
  <c r="AF10" i="9"/>
  <c r="AF6" i="9"/>
  <c r="AF97" i="9"/>
  <c r="AF93" i="9"/>
  <c r="AF89" i="9"/>
  <c r="AF81" i="9"/>
  <c r="AF69" i="9"/>
  <c r="AF57" i="9"/>
  <c r="AF49" i="9"/>
  <c r="AF37" i="9"/>
  <c r="AF25" i="9"/>
  <c r="AF13" i="9"/>
  <c r="AF101" i="9"/>
  <c r="AF85" i="9"/>
  <c r="AF73" i="9"/>
  <c r="AF65" i="9"/>
  <c r="AF53" i="9"/>
  <c r="AF41" i="9"/>
  <c r="AF29" i="9"/>
  <c r="AF17" i="9"/>
  <c r="AF104" i="9"/>
  <c r="AF100" i="9"/>
  <c r="AF96" i="9"/>
  <c r="AF92" i="9"/>
  <c r="AF88" i="9"/>
  <c r="AF84" i="9"/>
  <c r="AF80" i="9"/>
  <c r="AF76" i="9"/>
  <c r="AF72" i="9"/>
  <c r="AF68" i="9"/>
  <c r="AF64" i="9"/>
  <c r="AF60" i="9"/>
  <c r="AF56" i="9"/>
  <c r="AF52" i="9"/>
  <c r="AF48" i="9"/>
  <c r="AF44" i="9"/>
  <c r="AF40" i="9"/>
  <c r="AF36" i="9"/>
  <c r="AF32" i="9"/>
  <c r="AF28" i="9"/>
  <c r="AF24" i="9"/>
  <c r="AF20" i="9"/>
  <c r="AF16" i="9"/>
  <c r="AF12" i="9"/>
  <c r="AF8" i="9"/>
  <c r="AF103" i="9"/>
  <c r="AF99" i="9"/>
  <c r="AF95" i="9"/>
  <c r="AF91" i="9"/>
  <c r="AF87" i="9"/>
  <c r="AF83" i="9"/>
  <c r="AF79" i="9"/>
  <c r="AF75" i="9"/>
  <c r="AF71" i="9"/>
  <c r="AF67" i="9"/>
  <c r="AF63" i="9"/>
  <c r="AF59" i="9"/>
  <c r="AF55" i="9"/>
  <c r="AF51" i="9"/>
  <c r="AF47" i="9"/>
  <c r="AF43" i="9"/>
  <c r="AF39" i="9"/>
  <c r="AF35" i="9"/>
  <c r="AF31" i="9"/>
  <c r="AF27" i="9"/>
  <c r="AF23" i="9"/>
  <c r="AF19" i="9"/>
  <c r="AF15" i="9"/>
  <c r="AF11" i="9"/>
  <c r="AF7" i="9"/>
  <c r="AF105" i="9"/>
  <c r="AF77" i="9"/>
  <c r="AF61" i="9"/>
  <c r="AF45" i="9"/>
  <c r="AF33" i="9"/>
  <c r="AF21" i="9"/>
  <c r="AF9" i="9"/>
  <c r="D2" i="3"/>
  <c r="D5" i="3"/>
  <c r="C5" i="3"/>
  <c r="AC12" i="23" l="1"/>
  <c r="A9" i="6"/>
  <c r="AB10" i="22"/>
  <c r="T11" i="22"/>
  <c r="AC13" i="23"/>
  <c r="U14" i="23"/>
  <c r="U12" i="22"/>
  <c r="P11" i="6" s="1"/>
  <c r="AC11" i="22"/>
  <c r="Q24" i="7"/>
  <c r="O24" i="7"/>
  <c r="N24" i="7"/>
  <c r="P24" i="7"/>
  <c r="L8" i="12"/>
  <c r="L32" i="12"/>
  <c r="L56" i="12"/>
  <c r="L72" i="12"/>
  <c r="L96" i="12"/>
  <c r="L17" i="12"/>
  <c r="L41" i="12"/>
  <c r="L65" i="12"/>
  <c r="L81" i="12"/>
  <c r="L97" i="12"/>
  <c r="L18" i="12"/>
  <c r="L42" i="12"/>
  <c r="L66" i="12"/>
  <c r="L82" i="12"/>
  <c r="L106" i="12"/>
  <c r="L27" i="12"/>
  <c r="L51" i="12"/>
  <c r="L67" i="12"/>
  <c r="L91" i="12"/>
  <c r="L12" i="12"/>
  <c r="L20" i="12"/>
  <c r="L28" i="12"/>
  <c r="L36" i="12"/>
  <c r="L44" i="12"/>
  <c r="L52" i="12"/>
  <c r="L60" i="12"/>
  <c r="L68" i="12"/>
  <c r="L76" i="12"/>
  <c r="L84" i="12"/>
  <c r="L92" i="12"/>
  <c r="L100" i="12"/>
  <c r="L16" i="12"/>
  <c r="L40" i="12"/>
  <c r="L64" i="12"/>
  <c r="L88" i="12"/>
  <c r="L25" i="12"/>
  <c r="L49" i="12"/>
  <c r="L73" i="12"/>
  <c r="L105" i="12"/>
  <c r="L26" i="12"/>
  <c r="L50" i="12"/>
  <c r="L74" i="12"/>
  <c r="L98" i="12"/>
  <c r="L19" i="12"/>
  <c r="L43" i="12"/>
  <c r="L75" i="12"/>
  <c r="L99" i="12"/>
  <c r="L13" i="12"/>
  <c r="L29" i="12"/>
  <c r="L45" i="12"/>
  <c r="L69" i="12"/>
  <c r="L6" i="12"/>
  <c r="L14" i="12"/>
  <c r="L22" i="12"/>
  <c r="L30" i="12"/>
  <c r="L38" i="12"/>
  <c r="L46" i="12"/>
  <c r="L54" i="12"/>
  <c r="L62" i="12"/>
  <c r="L70" i="12"/>
  <c r="L78" i="12"/>
  <c r="L86" i="12"/>
  <c r="L94" i="12"/>
  <c r="L102" i="12"/>
  <c r="L24" i="12"/>
  <c r="L48" i="12"/>
  <c r="L80" i="12"/>
  <c r="L104" i="12"/>
  <c r="L9" i="12"/>
  <c r="L33" i="12"/>
  <c r="L57" i="12"/>
  <c r="L89" i="12"/>
  <c r="L10" i="12"/>
  <c r="L34" i="12"/>
  <c r="L58" i="12"/>
  <c r="L90" i="12"/>
  <c r="L11" i="12"/>
  <c r="L35" i="12"/>
  <c r="L59" i="12"/>
  <c r="L83" i="12"/>
  <c r="L21" i="12"/>
  <c r="L37" i="12"/>
  <c r="L53" i="12"/>
  <c r="L61" i="12"/>
  <c r="L77" i="12"/>
  <c r="L85" i="12"/>
  <c r="L93" i="12"/>
  <c r="L101" i="12"/>
  <c r="L7" i="12"/>
  <c r="L15" i="12"/>
  <c r="L23" i="12"/>
  <c r="L31" i="12"/>
  <c r="L39" i="12"/>
  <c r="L47" i="12"/>
  <c r="L55" i="12"/>
  <c r="L63" i="12"/>
  <c r="L71" i="12"/>
  <c r="L79" i="12"/>
  <c r="L87" i="12"/>
  <c r="L95" i="12"/>
  <c r="L103" i="1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BZ4" i="8"/>
  <c r="A5" i="8"/>
  <c r="AS9" i="6"/>
  <c r="AS8" i="6"/>
  <c r="AS7" i="6"/>
  <c r="AS6" i="6"/>
  <c r="AS5" i="6"/>
  <c r="AS4" i="6"/>
  <c r="AQ13" i="5"/>
  <c r="AQ12" i="5"/>
  <c r="AQ11" i="5"/>
  <c r="AQ10" i="5"/>
  <c r="AQ9" i="5"/>
  <c r="AQ8" i="5"/>
  <c r="AQ7" i="5"/>
  <c r="AQ6" i="5"/>
  <c r="AQ5" i="5"/>
  <c r="AQ4" i="5"/>
  <c r="AM13" i="5"/>
  <c r="AM12" i="5"/>
  <c r="AM11" i="5"/>
  <c r="AM10" i="5"/>
  <c r="AM9" i="5"/>
  <c r="AM8" i="5"/>
  <c r="AM7" i="5"/>
  <c r="AM6" i="5"/>
  <c r="AM5" i="5"/>
  <c r="AM4" i="5"/>
  <c r="AI13" i="5"/>
  <c r="AI12" i="5"/>
  <c r="AI11" i="5"/>
  <c r="AI10" i="5"/>
  <c r="AI9" i="5"/>
  <c r="AI8" i="5"/>
  <c r="AI7" i="5"/>
  <c r="AI6" i="5"/>
  <c r="AI5" i="5"/>
  <c r="AI4" i="5"/>
  <c r="AE13" i="5"/>
  <c r="AE12" i="5"/>
  <c r="AE11" i="5"/>
  <c r="AE10" i="5"/>
  <c r="AE9" i="5"/>
  <c r="AE8" i="5"/>
  <c r="AE7" i="5"/>
  <c r="AE6" i="5"/>
  <c r="AE5" i="5"/>
  <c r="AE4" i="5"/>
  <c r="AA13" i="5"/>
  <c r="AA12" i="5"/>
  <c r="AA11" i="5"/>
  <c r="AA10" i="5"/>
  <c r="AA9" i="5"/>
  <c r="AA8" i="5"/>
  <c r="AA7" i="5"/>
  <c r="AA6" i="5"/>
  <c r="AA5" i="5"/>
  <c r="AA4" i="5"/>
  <c r="A5" i="5"/>
  <c r="AX5" i="8" l="1"/>
  <c r="AP5" i="8"/>
  <c r="AW5" i="8"/>
  <c r="AO5" i="8"/>
  <c r="AV5" i="8"/>
  <c r="AK5" i="8" s="1"/>
  <c r="B5" i="8" s="1"/>
  <c r="AN5" i="8"/>
  <c r="AU5" i="8"/>
  <c r="AT5" i="8"/>
  <c r="AS5" i="8"/>
  <c r="AR5" i="8"/>
  <c r="AY5" i="8"/>
  <c r="AQ5" i="8"/>
  <c r="AM5" i="8"/>
  <c r="AB11" i="22"/>
  <c r="A10" i="6"/>
  <c r="T12" i="22"/>
  <c r="AC14" i="23"/>
  <c r="U15" i="23"/>
  <c r="U13" i="22"/>
  <c r="P12" i="6" s="1"/>
  <c r="AC12" i="22"/>
  <c r="Z5" i="6"/>
  <c r="W5" i="6"/>
  <c r="V5" i="6"/>
  <c r="T5" i="6"/>
  <c r="S4" i="7"/>
  <c r="T7" i="7" s="1"/>
  <c r="T8" i="7" s="1"/>
  <c r="T9" i="7" s="1"/>
  <c r="T10" i="7" s="1"/>
  <c r="T11" i="7" s="1"/>
  <c r="T12" i="7" s="1"/>
  <c r="T13" i="7" s="1"/>
  <c r="T14" i="7" s="1"/>
  <c r="T15" i="7" s="1"/>
  <c r="T16" i="7" s="1"/>
  <c r="T17" i="7" s="1"/>
  <c r="T18" i="7" s="1"/>
  <c r="T19" i="7" s="1"/>
  <c r="T20" i="7" s="1"/>
  <c r="T21" i="7" s="1"/>
  <c r="T22" i="7" s="1"/>
  <c r="T23" i="7" s="1"/>
  <c r="T24" i="7" s="1"/>
  <c r="T25" i="7" s="1"/>
  <c r="T26" i="7" s="1"/>
  <c r="T27" i="7" s="1"/>
  <c r="T28" i="7" s="1"/>
  <c r="T29" i="7" s="1"/>
  <c r="T30" i="7" s="1"/>
  <c r="T31" i="7" s="1"/>
  <c r="T32" i="7" s="1"/>
  <c r="T33" i="7" s="1"/>
  <c r="T34" i="7" s="1"/>
  <c r="T35" i="7" s="1"/>
  <c r="T36" i="7" s="1"/>
  <c r="T37" i="7" s="1"/>
  <c r="T38" i="7" s="1"/>
  <c r="T39" i="7" s="1"/>
  <c r="T40" i="7" s="1"/>
  <c r="T41" i="7" s="1"/>
  <c r="T42" i="7" s="1"/>
  <c r="T43" i="7" s="1"/>
  <c r="T44" i="7" s="1"/>
  <c r="T45" i="7" s="1"/>
  <c r="T46" i="7" s="1"/>
  <c r="T47" i="7" s="1"/>
  <c r="T48" i="7" s="1"/>
  <c r="T49" i="7" s="1"/>
  <c r="T50" i="7" s="1"/>
  <c r="T51" i="7" s="1"/>
  <c r="T52" i="7" s="1"/>
  <c r="T53" i="7" s="1"/>
  <c r="T54" i="7" s="1"/>
  <c r="T55" i="7" s="1"/>
  <c r="T56" i="7" s="1"/>
  <c r="T57" i="7" s="1"/>
  <c r="T58" i="7" s="1"/>
  <c r="T59" i="7" s="1"/>
  <c r="T60" i="7" s="1"/>
  <c r="T61" i="7" s="1"/>
  <c r="T62" i="7" s="1"/>
  <c r="T63" i="7" s="1"/>
  <c r="T64" i="7" s="1"/>
  <c r="T65" i="7" s="1"/>
  <c r="T66" i="7" s="1"/>
  <c r="T67" i="7" s="1"/>
  <c r="T68" i="7" s="1"/>
  <c r="T69" i="7" s="1"/>
  <c r="T70" i="7" s="1"/>
  <c r="T71" i="7" s="1"/>
  <c r="T72" i="7" s="1"/>
  <c r="T73" i="7" s="1"/>
  <c r="T74" i="7" s="1"/>
  <c r="T75" i="7" s="1"/>
  <c r="T76" i="7" s="1"/>
  <c r="T77" i="7" s="1"/>
  <c r="T78" i="7" s="1"/>
  <c r="T79" i="7" s="1"/>
  <c r="T80" i="7" s="1"/>
  <c r="T81" i="7" s="1"/>
  <c r="T82" i="7" s="1"/>
  <c r="T83" i="7" s="1"/>
  <c r="T84" i="7" s="1"/>
  <c r="T85" i="7" s="1"/>
  <c r="T86" i="7" s="1"/>
  <c r="T87" i="7" s="1"/>
  <c r="T88" i="7" s="1"/>
  <c r="T89" i="7" s="1"/>
  <c r="T90" i="7" s="1"/>
  <c r="T91" i="7" s="1"/>
  <c r="T92" i="7" s="1"/>
  <c r="T93" i="7" s="1"/>
  <c r="T94" i="7" s="1"/>
  <c r="T95" i="7" s="1"/>
  <c r="T96" i="7" s="1"/>
  <c r="T97" i="7" s="1"/>
  <c r="T98" i="7" s="1"/>
  <c r="T99" i="7" s="1"/>
  <c r="T100" i="7" s="1"/>
  <c r="T101" i="7" s="1"/>
  <c r="T102" i="7" s="1"/>
  <c r="T103" i="7" s="1"/>
  <c r="T104" i="7" s="1"/>
  <c r="T105" i="7" s="1"/>
  <c r="T106" i="7" s="1"/>
  <c r="T107" i="7" s="1"/>
  <c r="A6" i="11"/>
  <c r="A7" i="11" s="1"/>
  <c r="A6" i="12"/>
  <c r="F2" i="3"/>
  <c r="F2" i="9"/>
  <c r="AL5" i="8"/>
  <c r="A6" i="8"/>
  <c r="N5" i="5"/>
  <c r="L5" i="5"/>
  <c r="A6" i="5"/>
  <c r="A7" i="5" s="1"/>
  <c r="T7" i="5" s="1"/>
  <c r="O5" i="5"/>
  <c r="R5" i="5"/>
  <c r="T5" i="5"/>
  <c r="K5" i="5"/>
  <c r="S5" i="5"/>
  <c r="M5" i="5"/>
  <c r="P5" i="5"/>
  <c r="Q5" i="5"/>
  <c r="AJ5" i="8" l="1"/>
  <c r="I5" i="12" s="1"/>
  <c r="AS6" i="8"/>
  <c r="AP6" i="8"/>
  <c r="AR6" i="8"/>
  <c r="AQ6" i="8"/>
  <c r="AL6" i="8"/>
  <c r="AO6" i="8"/>
  <c r="AM6" i="8"/>
  <c r="AN6" i="8"/>
  <c r="AU6" i="8"/>
  <c r="AT6" i="8"/>
  <c r="AV6" i="8"/>
  <c r="AW6" i="8"/>
  <c r="AX6" i="8"/>
  <c r="AY6" i="8"/>
  <c r="AZ6" i="8"/>
  <c r="BA6" i="8"/>
  <c r="BB6" i="8"/>
  <c r="BC6" i="8"/>
  <c r="BD6" i="8"/>
  <c r="BE6" i="8"/>
  <c r="BF6" i="8"/>
  <c r="AC15" i="23"/>
  <c r="U16" i="23"/>
  <c r="A11" i="6"/>
  <c r="AB12" i="22"/>
  <c r="T13" i="22"/>
  <c r="U14" i="22"/>
  <c r="P13" i="6" s="1"/>
  <c r="AC13" i="22"/>
  <c r="AB5" i="6"/>
  <c r="Y5" i="6"/>
  <c r="U5" i="6"/>
  <c r="X5" i="6"/>
  <c r="AA5" i="6"/>
  <c r="AC5" i="6"/>
  <c r="AA6" i="6"/>
  <c r="AU5" i="3"/>
  <c r="V6" i="6"/>
  <c r="U6" i="6"/>
  <c r="W6" i="6"/>
  <c r="F1" i="3"/>
  <c r="E5" i="8"/>
  <c r="F5" i="8" s="1"/>
  <c r="M5" i="8" s="1"/>
  <c r="Q25" i="7"/>
  <c r="O25" i="7"/>
  <c r="P25" i="7"/>
  <c r="N25" i="7"/>
  <c r="Q26" i="7"/>
  <c r="O26" i="7"/>
  <c r="P26" i="7"/>
  <c r="N26" i="7"/>
  <c r="A8" i="12"/>
  <c r="A7" i="12"/>
  <c r="A8" i="11"/>
  <c r="A7" i="8"/>
  <c r="O7" i="5"/>
  <c r="T6" i="5"/>
  <c r="L6" i="5"/>
  <c r="M7" i="5"/>
  <c r="O6" i="5"/>
  <c r="P7" i="5"/>
  <c r="Q7" i="5"/>
  <c r="R7" i="5"/>
  <c r="R6" i="5"/>
  <c r="S7" i="5"/>
  <c r="Q6" i="5"/>
  <c r="S6" i="5"/>
  <c r="A8" i="5"/>
  <c r="T8" i="5" s="1"/>
  <c r="K7" i="5"/>
  <c r="N7" i="5"/>
  <c r="K6" i="5"/>
  <c r="L7" i="5"/>
  <c r="M6" i="5"/>
  <c r="P6" i="5"/>
  <c r="N6" i="5"/>
  <c r="J5" i="5"/>
  <c r="AQ7" i="8" l="1"/>
  <c r="AP7" i="8"/>
  <c r="AO7" i="8"/>
  <c r="AN7" i="8"/>
  <c r="AU7" i="8"/>
  <c r="AM7" i="8"/>
  <c r="AS7" i="8"/>
  <c r="AR7" i="8"/>
  <c r="AT7" i="8"/>
  <c r="AL7" i="8"/>
  <c r="AV7" i="8"/>
  <c r="AW7" i="8"/>
  <c r="AX7" i="8"/>
  <c r="AY7" i="8"/>
  <c r="AZ7" i="8"/>
  <c r="BA7" i="8"/>
  <c r="BB7" i="8"/>
  <c r="BC7" i="8"/>
  <c r="BD7" i="8"/>
  <c r="BE7" i="8"/>
  <c r="BF7" i="8"/>
  <c r="AK6" i="8"/>
  <c r="F5" i="9"/>
  <c r="A12" i="6"/>
  <c r="AB13" i="22"/>
  <c r="T14" i="22"/>
  <c r="AC16" i="23"/>
  <c r="U17" i="23"/>
  <c r="U15" i="22"/>
  <c r="P14" i="6" s="1"/>
  <c r="AC14" i="22"/>
  <c r="Y6" i="6"/>
  <c r="X6" i="6"/>
  <c r="AC6" i="6"/>
  <c r="T6" i="6"/>
  <c r="S5" i="6"/>
  <c r="R5" i="6" s="1"/>
  <c r="AA6" i="17" s="1"/>
  <c r="AB6" i="6"/>
  <c r="Z6" i="6"/>
  <c r="G5" i="6"/>
  <c r="M5" i="6"/>
  <c r="F5" i="6"/>
  <c r="K5" i="6"/>
  <c r="N5" i="6"/>
  <c r="L5" i="6"/>
  <c r="E5" i="6"/>
  <c r="I5" i="6"/>
  <c r="J5" i="6"/>
  <c r="H5" i="6"/>
  <c r="A9" i="12"/>
  <c r="H5" i="5"/>
  <c r="I5" i="5"/>
  <c r="AI6" i="23" s="1"/>
  <c r="A9" i="11"/>
  <c r="D5" i="8"/>
  <c r="A8" i="8"/>
  <c r="A9" i="5"/>
  <c r="N9" i="5" s="1"/>
  <c r="J7" i="5"/>
  <c r="K8" i="5"/>
  <c r="R8" i="5"/>
  <c r="S8" i="5"/>
  <c r="L8" i="5"/>
  <c r="M8" i="5"/>
  <c r="N8" i="5"/>
  <c r="Q8" i="5"/>
  <c r="J6" i="5"/>
  <c r="O8" i="5"/>
  <c r="G5" i="5"/>
  <c r="C5" i="5"/>
  <c r="D5" i="5"/>
  <c r="F5" i="5"/>
  <c r="AF6" i="23" s="1"/>
  <c r="E5" i="5"/>
  <c r="AE6" i="23" s="1"/>
  <c r="P8" i="5"/>
  <c r="B6" i="8" l="1"/>
  <c r="AJ6" i="8" s="1"/>
  <c r="G6" i="8"/>
  <c r="C6" i="8"/>
  <c r="D6" i="8" s="1"/>
  <c r="AK7" i="8"/>
  <c r="AO8" i="8"/>
  <c r="AT8" i="8"/>
  <c r="AV8" i="8"/>
  <c r="AN8" i="8"/>
  <c r="AU8" i="8"/>
  <c r="AM8" i="8"/>
  <c r="AL8" i="8"/>
  <c r="AS8" i="8"/>
  <c r="AQ8" i="8"/>
  <c r="AR8" i="8"/>
  <c r="AP8" i="8"/>
  <c r="AW8" i="8"/>
  <c r="AX8" i="8"/>
  <c r="AY8" i="8"/>
  <c r="AZ8" i="8"/>
  <c r="BA8" i="8"/>
  <c r="BB8" i="8"/>
  <c r="BC8" i="8"/>
  <c r="BD8" i="8"/>
  <c r="BE8" i="8"/>
  <c r="BF8" i="8"/>
  <c r="AH6" i="23"/>
  <c r="U5" i="12" s="1"/>
  <c r="AG6" i="23"/>
  <c r="W5" i="12" s="1"/>
  <c r="AO5" i="9"/>
  <c r="Z5" i="3"/>
  <c r="G5" i="12"/>
  <c r="E5" i="9"/>
  <c r="F5" i="12"/>
  <c r="E5" i="3"/>
  <c r="AC17" i="23"/>
  <c r="U18" i="23"/>
  <c r="A13" i="6"/>
  <c r="AB14" i="22"/>
  <c r="T15" i="22"/>
  <c r="U16" i="22"/>
  <c r="P15" i="6" s="1"/>
  <c r="AC15" i="22"/>
  <c r="Q5" i="6"/>
  <c r="AD6" i="17" s="1"/>
  <c r="S6" i="6"/>
  <c r="R6" i="6" s="1"/>
  <c r="AA7" i="17" s="1"/>
  <c r="U8" i="6"/>
  <c r="B5" i="3"/>
  <c r="K5" i="12"/>
  <c r="Z8" i="6"/>
  <c r="AB8" i="6"/>
  <c r="Y8" i="6"/>
  <c r="X7" i="6"/>
  <c r="AB7" i="6"/>
  <c r="V7" i="6"/>
  <c r="U7" i="6"/>
  <c r="AC7" i="6"/>
  <c r="Y7" i="6"/>
  <c r="T7" i="6"/>
  <c r="Z7" i="6"/>
  <c r="AA7" i="6"/>
  <c r="W7" i="6"/>
  <c r="D5" i="6"/>
  <c r="N6" i="6"/>
  <c r="K6" i="6"/>
  <c r="H6" i="6"/>
  <c r="G6" i="6"/>
  <c r="L6" i="6"/>
  <c r="J6" i="6"/>
  <c r="F6" i="6"/>
  <c r="I6" i="6"/>
  <c r="E6" i="6"/>
  <c r="M6" i="6"/>
  <c r="M6" i="8"/>
  <c r="AU6" i="3"/>
  <c r="Q28" i="7"/>
  <c r="P28" i="7"/>
  <c r="O28" i="7"/>
  <c r="N28" i="7"/>
  <c r="Q27" i="7"/>
  <c r="O27" i="7"/>
  <c r="N27" i="7"/>
  <c r="P27" i="7"/>
  <c r="H5" i="12"/>
  <c r="A10" i="12"/>
  <c r="I7" i="5"/>
  <c r="AI8" i="23" s="1"/>
  <c r="I6" i="5"/>
  <c r="AI7" i="23" s="1"/>
  <c r="A10" i="11"/>
  <c r="F5" i="3"/>
  <c r="F7" i="5"/>
  <c r="AF8" i="23" s="1"/>
  <c r="H7" i="5"/>
  <c r="D6" i="5"/>
  <c r="H6" i="5"/>
  <c r="P9" i="5"/>
  <c r="A10" i="5"/>
  <c r="R10" i="5" s="1"/>
  <c r="S9" i="5"/>
  <c r="L9" i="5"/>
  <c r="O9" i="5"/>
  <c r="A9" i="8"/>
  <c r="R9" i="5"/>
  <c r="K9" i="5"/>
  <c r="T9" i="5"/>
  <c r="M9" i="5"/>
  <c r="Q9" i="5"/>
  <c r="C6" i="5"/>
  <c r="D7" i="5"/>
  <c r="G7" i="5"/>
  <c r="E7" i="5"/>
  <c r="AE8" i="23" s="1"/>
  <c r="C7" i="5"/>
  <c r="J8" i="5"/>
  <c r="B5" i="5"/>
  <c r="AD6" i="23" s="1"/>
  <c r="E6" i="5"/>
  <c r="AE7" i="23" s="1"/>
  <c r="G6" i="5"/>
  <c r="F6" i="5"/>
  <c r="AF7" i="23" s="1"/>
  <c r="AO6" i="9" s="1"/>
  <c r="AT9" i="8" l="1"/>
  <c r="AL9" i="8"/>
  <c r="AS9" i="8"/>
  <c r="AR9" i="8"/>
  <c r="AQ9" i="8"/>
  <c r="AP9" i="8"/>
  <c r="AU9" i="8"/>
  <c r="AO9" i="8"/>
  <c r="AN9" i="8"/>
  <c r="AM9" i="8"/>
  <c r="AV9" i="8"/>
  <c r="AW9" i="8"/>
  <c r="AX9" i="8"/>
  <c r="AY9" i="8"/>
  <c r="AZ9" i="8"/>
  <c r="BA9" i="8"/>
  <c r="BB9" i="8"/>
  <c r="BC9" i="8"/>
  <c r="BD9" i="8"/>
  <c r="BE9" i="8"/>
  <c r="BF9" i="8"/>
  <c r="B7" i="8"/>
  <c r="AJ7" i="8" s="1"/>
  <c r="C7" i="8"/>
  <c r="D7" i="8" s="1"/>
  <c r="G7" i="8"/>
  <c r="AK8" i="8"/>
  <c r="AD5" i="3"/>
  <c r="AH8" i="23"/>
  <c r="U7" i="12" s="1"/>
  <c r="AH7" i="23"/>
  <c r="U6" i="12" s="1"/>
  <c r="AG8" i="23"/>
  <c r="W7" i="12" s="1"/>
  <c r="AG7" i="23"/>
  <c r="W6" i="12" s="1"/>
  <c r="F7" i="12"/>
  <c r="E7" i="3"/>
  <c r="E7" i="9"/>
  <c r="G6" i="12"/>
  <c r="Z6" i="3"/>
  <c r="E6" i="3"/>
  <c r="E6" i="9"/>
  <c r="F6" i="12"/>
  <c r="AO7" i="9"/>
  <c r="G7" i="12"/>
  <c r="G5" i="9"/>
  <c r="E5" i="12"/>
  <c r="G5" i="3"/>
  <c r="O5" i="3" s="1"/>
  <c r="A14" i="6"/>
  <c r="AB15" i="22"/>
  <c r="T16" i="22"/>
  <c r="AC18" i="23"/>
  <c r="U19" i="23"/>
  <c r="U17" i="22"/>
  <c r="P16" i="6" s="1"/>
  <c r="AC16" i="22"/>
  <c r="AA8" i="6"/>
  <c r="AC8" i="6"/>
  <c r="T8" i="6"/>
  <c r="Q6" i="6"/>
  <c r="AD7" i="17" s="1"/>
  <c r="P6" i="12" s="1"/>
  <c r="V8" i="6"/>
  <c r="X8" i="6"/>
  <c r="W8" i="6"/>
  <c r="AB9" i="6"/>
  <c r="B5" i="6"/>
  <c r="C5" i="6"/>
  <c r="AA6" i="7" s="1"/>
  <c r="AC5" i="3"/>
  <c r="P5" i="12"/>
  <c r="K6" i="12"/>
  <c r="B6" i="3"/>
  <c r="S7" i="6"/>
  <c r="E7" i="6"/>
  <c r="K7" i="6"/>
  <c r="I7" i="6"/>
  <c r="M7" i="6"/>
  <c r="F7" i="6"/>
  <c r="L7" i="6"/>
  <c r="J7" i="6"/>
  <c r="N7" i="6"/>
  <c r="H7" i="6"/>
  <c r="G7" i="6"/>
  <c r="D6" i="6"/>
  <c r="M7" i="8"/>
  <c r="AU7" i="3"/>
  <c r="Q29" i="7"/>
  <c r="N29" i="7"/>
  <c r="P29" i="7"/>
  <c r="O29" i="7"/>
  <c r="H6" i="12"/>
  <c r="A11" i="12"/>
  <c r="I8" i="5"/>
  <c r="AI9" i="23" s="1"/>
  <c r="F6" i="9"/>
  <c r="F6" i="3"/>
  <c r="A11" i="11"/>
  <c r="L10" i="5"/>
  <c r="A11" i="5"/>
  <c r="Q11" i="5" s="1"/>
  <c r="O10" i="5"/>
  <c r="P10" i="5"/>
  <c r="Q10" i="5"/>
  <c r="N10" i="5"/>
  <c r="S10" i="5"/>
  <c r="M10" i="5"/>
  <c r="T10" i="5"/>
  <c r="G8" i="5"/>
  <c r="H8" i="5"/>
  <c r="K10" i="5"/>
  <c r="B6" i="5"/>
  <c r="AD7" i="23" s="1"/>
  <c r="Z7" i="3"/>
  <c r="J9" i="5"/>
  <c r="G9" i="5" s="1"/>
  <c r="A10" i="8"/>
  <c r="B7" i="5"/>
  <c r="AD8" i="23" s="1"/>
  <c r="D8" i="5"/>
  <c r="F8" i="5"/>
  <c r="AF9" i="23" s="1"/>
  <c r="AO8" i="9" s="1"/>
  <c r="E8" i="5"/>
  <c r="AE9" i="23" s="1"/>
  <c r="C8" i="5"/>
  <c r="AK9" i="8" l="1"/>
  <c r="AR10" i="8"/>
  <c r="AQ10" i="8"/>
  <c r="AP10" i="8"/>
  <c r="AO10" i="8"/>
  <c r="AN10" i="8"/>
  <c r="AT10" i="8"/>
  <c r="AU10" i="8"/>
  <c r="AM10" i="8"/>
  <c r="AL10" i="8"/>
  <c r="AS10" i="8"/>
  <c r="AV10" i="8"/>
  <c r="AW10" i="8"/>
  <c r="AX10" i="8"/>
  <c r="AY10" i="8"/>
  <c r="AZ10" i="8"/>
  <c r="BA10" i="8"/>
  <c r="BB10" i="8"/>
  <c r="BC10" i="8"/>
  <c r="BD10" i="8"/>
  <c r="BE10" i="8"/>
  <c r="BF10" i="8"/>
  <c r="B8" i="8"/>
  <c r="AJ8" i="8" s="1"/>
  <c r="G8" i="8"/>
  <c r="C8" i="8"/>
  <c r="D8" i="8" s="1"/>
  <c r="AD7" i="3"/>
  <c r="AD6" i="3"/>
  <c r="AH9" i="23"/>
  <c r="U8" i="12" s="1"/>
  <c r="AG10" i="23"/>
  <c r="W9" i="12" s="1"/>
  <c r="AG9" i="23"/>
  <c r="W8" i="12" s="1"/>
  <c r="E8" i="3"/>
  <c r="E8" i="9"/>
  <c r="F8" i="12"/>
  <c r="R5" i="9"/>
  <c r="E7" i="12"/>
  <c r="G7" i="3"/>
  <c r="N7" i="3" s="1"/>
  <c r="G7" i="9"/>
  <c r="G8" i="12"/>
  <c r="E6" i="12"/>
  <c r="G6" i="9"/>
  <c r="K6" i="9" s="1"/>
  <c r="G6" i="3"/>
  <c r="I6" i="3" s="1"/>
  <c r="AC19" i="23"/>
  <c r="U20" i="23"/>
  <c r="S8" i="6"/>
  <c r="R8" i="6" s="1"/>
  <c r="AA9" i="17" s="1"/>
  <c r="A15" i="6"/>
  <c r="AB16" i="22"/>
  <c r="T17" i="22"/>
  <c r="U18" i="22"/>
  <c r="P17" i="6" s="1"/>
  <c r="AC17" i="22"/>
  <c r="AC9" i="6"/>
  <c r="Z9" i="6"/>
  <c r="Y9" i="6"/>
  <c r="X9" i="6"/>
  <c r="W9" i="6"/>
  <c r="T9" i="6"/>
  <c r="AA9" i="6"/>
  <c r="V9" i="6"/>
  <c r="AB10" i="6"/>
  <c r="U9" i="6"/>
  <c r="I5" i="3"/>
  <c r="J5" i="3" s="1"/>
  <c r="N5" i="3"/>
  <c r="AC6" i="3"/>
  <c r="X10" i="6"/>
  <c r="R7" i="6"/>
  <c r="AA8" i="17" s="1"/>
  <c r="Q7" i="6"/>
  <c r="AD8" i="17" s="1"/>
  <c r="AC6" i="7"/>
  <c r="AD6" i="7"/>
  <c r="B6" i="6"/>
  <c r="C6" i="6"/>
  <c r="E8" i="6"/>
  <c r="I8" i="6"/>
  <c r="J8" i="6"/>
  <c r="N8" i="6"/>
  <c r="M8" i="6"/>
  <c r="F8" i="6"/>
  <c r="G8" i="6"/>
  <c r="K8" i="6"/>
  <c r="H8" i="6"/>
  <c r="L8" i="6"/>
  <c r="B5" i="9"/>
  <c r="Q5" i="9" s="1"/>
  <c r="J5" i="12"/>
  <c r="D7" i="6"/>
  <c r="M8" i="8"/>
  <c r="AU8" i="3"/>
  <c r="Q30" i="7"/>
  <c r="N30" i="7"/>
  <c r="P30" i="7"/>
  <c r="O30" i="7"/>
  <c r="A12" i="12"/>
  <c r="I6" i="12"/>
  <c r="H7" i="12"/>
  <c r="I9" i="5"/>
  <c r="AI10" i="23" s="1"/>
  <c r="F7" i="9"/>
  <c r="F7" i="3"/>
  <c r="K5" i="9"/>
  <c r="A12" i="11"/>
  <c r="L11" i="5"/>
  <c r="P11" i="5"/>
  <c r="A12" i="5"/>
  <c r="R12" i="5" s="1"/>
  <c r="O11" i="5"/>
  <c r="K11" i="5"/>
  <c r="R11" i="5"/>
  <c r="S11" i="5"/>
  <c r="M11" i="5"/>
  <c r="T11" i="5"/>
  <c r="J10" i="5"/>
  <c r="N11" i="5"/>
  <c r="E9" i="5"/>
  <c r="AE10" i="23" s="1"/>
  <c r="H9" i="5"/>
  <c r="F9" i="5"/>
  <c r="AF10" i="23" s="1"/>
  <c r="AO9" i="9" s="1"/>
  <c r="D9" i="5"/>
  <c r="C9" i="5"/>
  <c r="Z8" i="3"/>
  <c r="A11" i="8"/>
  <c r="B8" i="5"/>
  <c r="AD9" i="23" s="1"/>
  <c r="AK10" i="8" l="1"/>
  <c r="AP11" i="8"/>
  <c r="AM11" i="8"/>
  <c r="AO11" i="8"/>
  <c r="AN11" i="8"/>
  <c r="AU11" i="8"/>
  <c r="AT11" i="8"/>
  <c r="AL11" i="8"/>
  <c r="AQ11" i="8"/>
  <c r="AS11" i="8"/>
  <c r="AR11" i="8"/>
  <c r="AV11" i="8"/>
  <c r="AW11" i="8"/>
  <c r="AX11" i="8"/>
  <c r="AY11" i="8"/>
  <c r="AZ11" i="8"/>
  <c r="BA11" i="8"/>
  <c r="BB11" i="8"/>
  <c r="BC11" i="8"/>
  <c r="BD11" i="8"/>
  <c r="BE11" i="8"/>
  <c r="BF11" i="8"/>
  <c r="B9" i="8"/>
  <c r="AJ9" i="8" s="1"/>
  <c r="G9" i="8"/>
  <c r="C9" i="8"/>
  <c r="D9" i="8" s="1"/>
  <c r="AD8" i="3"/>
  <c r="AH10" i="23"/>
  <c r="U9" i="12" s="1"/>
  <c r="AI5" i="3"/>
  <c r="AJ5" i="3"/>
  <c r="AJ7" i="3"/>
  <c r="G9" i="12"/>
  <c r="AD9" i="3"/>
  <c r="F9" i="12"/>
  <c r="E9" i="9"/>
  <c r="E9" i="3"/>
  <c r="R6" i="9"/>
  <c r="R7" i="9"/>
  <c r="E8" i="12"/>
  <c r="G8" i="9"/>
  <c r="G8" i="3"/>
  <c r="N8" i="3" s="1"/>
  <c r="Q8" i="6"/>
  <c r="AD9" i="17" s="1"/>
  <c r="P8" i="12" s="1"/>
  <c r="A16" i="6"/>
  <c r="AB17" i="22"/>
  <c r="T18" i="22"/>
  <c r="AC20" i="23"/>
  <c r="U21" i="23"/>
  <c r="U19" i="22"/>
  <c r="P18" i="6" s="1"/>
  <c r="AC18" i="22"/>
  <c r="T10" i="6"/>
  <c r="AC10" i="6"/>
  <c r="S9" i="6"/>
  <c r="R9" i="6" s="1"/>
  <c r="AA10" i="17" s="1"/>
  <c r="W10" i="6"/>
  <c r="Y10" i="6"/>
  <c r="Z10" i="6"/>
  <c r="V10" i="6"/>
  <c r="T11" i="6"/>
  <c r="AA10" i="6"/>
  <c r="U10" i="6"/>
  <c r="J5" i="9"/>
  <c r="P7" i="12"/>
  <c r="B7" i="3"/>
  <c r="K7" i="12"/>
  <c r="B8" i="3"/>
  <c r="K8" i="12"/>
  <c r="P5" i="3"/>
  <c r="T5" i="8" s="1"/>
  <c r="AA7" i="7"/>
  <c r="J6" i="12" s="1"/>
  <c r="Q5" i="3"/>
  <c r="H5" i="3"/>
  <c r="AC7" i="7"/>
  <c r="AD7" i="7"/>
  <c r="AH5" i="9"/>
  <c r="AM5" i="9" s="1"/>
  <c r="O5" i="12"/>
  <c r="B5" i="12" s="1"/>
  <c r="AG5" i="9"/>
  <c r="M5" i="12"/>
  <c r="D8" i="6"/>
  <c r="B7" i="6"/>
  <c r="C7" i="6"/>
  <c r="I9" i="6"/>
  <c r="G9" i="6"/>
  <c r="K9" i="6"/>
  <c r="H9" i="6"/>
  <c r="J9" i="6"/>
  <c r="M9" i="6"/>
  <c r="L9" i="6"/>
  <c r="F9" i="6"/>
  <c r="E9" i="6"/>
  <c r="N9" i="6"/>
  <c r="M9" i="8"/>
  <c r="AU9" i="3"/>
  <c r="Q31" i="7"/>
  <c r="P31" i="7"/>
  <c r="N31" i="7"/>
  <c r="O31" i="7"/>
  <c r="J6" i="3"/>
  <c r="A13" i="12"/>
  <c r="I7" i="12"/>
  <c r="H8" i="12"/>
  <c r="H10" i="5"/>
  <c r="I10" i="5"/>
  <c r="AI11" i="23" s="1"/>
  <c r="N6" i="3"/>
  <c r="L6" i="9"/>
  <c r="I7" i="3"/>
  <c r="K7" i="9"/>
  <c r="F8" i="9"/>
  <c r="F8" i="3"/>
  <c r="L5" i="9"/>
  <c r="A13" i="11"/>
  <c r="A13" i="5"/>
  <c r="M13" i="5" s="1"/>
  <c r="Q12" i="5"/>
  <c r="P12" i="5"/>
  <c r="N12" i="5"/>
  <c r="O12" i="5"/>
  <c r="L12" i="5"/>
  <c r="T12" i="5"/>
  <c r="K12" i="5"/>
  <c r="M12" i="5"/>
  <c r="S12" i="5"/>
  <c r="J11" i="5"/>
  <c r="F10" i="5"/>
  <c r="AF11" i="23" s="1"/>
  <c r="AO10" i="9" s="1"/>
  <c r="C10" i="5"/>
  <c r="G10" i="5"/>
  <c r="D10" i="5"/>
  <c r="E10" i="5"/>
  <c r="AE11" i="23" s="1"/>
  <c r="B9" i="5"/>
  <c r="AD10" i="23" s="1"/>
  <c r="Z9" i="3"/>
  <c r="A12" i="8"/>
  <c r="AN12" i="8" l="1"/>
  <c r="AU12" i="8"/>
  <c r="AM12" i="8"/>
  <c r="AT12" i="8"/>
  <c r="AL12" i="8"/>
  <c r="AS12" i="8"/>
  <c r="AR12" i="8"/>
  <c r="AQ12" i="8"/>
  <c r="AP12" i="8"/>
  <c r="AO12" i="8"/>
  <c r="AV12" i="8"/>
  <c r="AW12" i="8"/>
  <c r="AX12" i="8"/>
  <c r="AY12" i="8"/>
  <c r="AZ12" i="8"/>
  <c r="BA12" i="8"/>
  <c r="BB12" i="8"/>
  <c r="BC12" i="8"/>
  <c r="BD12" i="8"/>
  <c r="BE12" i="8"/>
  <c r="BF12" i="8"/>
  <c r="AK11" i="8"/>
  <c r="B10" i="8"/>
  <c r="AJ10" i="8" s="1"/>
  <c r="G10" i="8"/>
  <c r="C10" i="8"/>
  <c r="D10" i="8" s="1"/>
  <c r="AH11" i="23"/>
  <c r="U10" i="12" s="1"/>
  <c r="AK5" i="3"/>
  <c r="AM5" i="3" s="1"/>
  <c r="AI6" i="3"/>
  <c r="AJ6" i="3"/>
  <c r="AJ8" i="3"/>
  <c r="AJ5" i="9"/>
  <c r="AK5" i="9"/>
  <c r="AG11" i="23"/>
  <c r="W10" i="12" s="1"/>
  <c r="G10" i="12"/>
  <c r="R8" i="9"/>
  <c r="E10" i="9"/>
  <c r="E10" i="3"/>
  <c r="F10" i="12"/>
  <c r="E9" i="12"/>
  <c r="G9" i="9"/>
  <c r="G9" i="3"/>
  <c r="N9" i="3" s="1"/>
  <c r="Q9" i="6"/>
  <c r="AD10" i="17" s="1"/>
  <c r="AC9" i="3" s="1"/>
  <c r="H5" i="8"/>
  <c r="I5" i="8" s="1"/>
  <c r="AJ6" i="23"/>
  <c r="AK6" i="23" s="1"/>
  <c r="AC21" i="23"/>
  <c r="U22" i="23"/>
  <c r="A17" i="6"/>
  <c r="AB18" i="22"/>
  <c r="T19" i="22"/>
  <c r="U20" i="22"/>
  <c r="P19" i="6" s="1"/>
  <c r="AC19" i="22"/>
  <c r="AC11" i="6"/>
  <c r="U11" i="6"/>
  <c r="X11" i="6"/>
  <c r="AA11" i="6"/>
  <c r="Z11" i="6"/>
  <c r="W11" i="6"/>
  <c r="AB11" i="6"/>
  <c r="Y11" i="6"/>
  <c r="V11" i="6"/>
  <c r="S10" i="6"/>
  <c r="R10" i="6" s="1"/>
  <c r="AA11" i="17" s="1"/>
  <c r="V12" i="6"/>
  <c r="W5" i="9"/>
  <c r="BB5" i="9" s="1"/>
  <c r="X5" i="9"/>
  <c r="L3" i="9"/>
  <c r="L5" i="3"/>
  <c r="N5" i="9" s="1"/>
  <c r="M5" i="3"/>
  <c r="M5" i="9" s="1"/>
  <c r="O5" i="9" s="1"/>
  <c r="AC7" i="3"/>
  <c r="AC8" i="3"/>
  <c r="AI8" i="3" s="1"/>
  <c r="B9" i="3"/>
  <c r="K9" i="12"/>
  <c r="Z12" i="6"/>
  <c r="AA8" i="7"/>
  <c r="O6" i="3"/>
  <c r="B6" i="9"/>
  <c r="K5" i="3"/>
  <c r="R5" i="3"/>
  <c r="AS5" i="3" s="1"/>
  <c r="AH6" i="9"/>
  <c r="AM6" i="9" s="1"/>
  <c r="O6" i="12"/>
  <c r="B6" i="12" s="1"/>
  <c r="AD8" i="7"/>
  <c r="AC8" i="7"/>
  <c r="M6" i="12"/>
  <c r="AG6" i="9"/>
  <c r="F10" i="6"/>
  <c r="L10" i="6"/>
  <c r="H10" i="6"/>
  <c r="K10" i="6"/>
  <c r="G10" i="6"/>
  <c r="E10" i="6"/>
  <c r="M10" i="6"/>
  <c r="N10" i="6"/>
  <c r="J10" i="6"/>
  <c r="I10" i="6"/>
  <c r="D9" i="6"/>
  <c r="C8" i="6"/>
  <c r="B8" i="6"/>
  <c r="M10" i="8"/>
  <c r="AU10" i="3"/>
  <c r="S5" i="8"/>
  <c r="Y2" i="8" s="1"/>
  <c r="J7" i="3"/>
  <c r="I8" i="12"/>
  <c r="A14" i="12"/>
  <c r="H9" i="12"/>
  <c r="H11" i="5"/>
  <c r="I11" i="5"/>
  <c r="AI12" i="23" s="1"/>
  <c r="L7" i="9"/>
  <c r="K8" i="9"/>
  <c r="I8" i="3"/>
  <c r="F9" i="3"/>
  <c r="F9" i="9"/>
  <c r="A14" i="11"/>
  <c r="K13" i="5"/>
  <c r="T13" i="5"/>
  <c r="S13" i="5"/>
  <c r="L13" i="5"/>
  <c r="O13" i="5"/>
  <c r="N13" i="5"/>
  <c r="Q13" i="5"/>
  <c r="P13" i="5"/>
  <c r="R13" i="5"/>
  <c r="A14" i="5"/>
  <c r="R14" i="5" s="1"/>
  <c r="B10" i="5"/>
  <c r="AD11" i="23" s="1"/>
  <c r="J12" i="5"/>
  <c r="C11" i="5"/>
  <c r="D11" i="5"/>
  <c r="G11" i="5"/>
  <c r="F11" i="5"/>
  <c r="AF12" i="23" s="1"/>
  <c r="AO11" i="9" s="1"/>
  <c r="E11" i="5"/>
  <c r="AE12" i="23" s="1"/>
  <c r="Z10" i="3"/>
  <c r="A13" i="8"/>
  <c r="B11" i="8" l="1"/>
  <c r="AJ11" i="8" s="1"/>
  <c r="C11" i="8"/>
  <c r="D11" i="8" s="1"/>
  <c r="G11" i="8"/>
  <c r="AK12" i="8"/>
  <c r="AT13" i="8"/>
  <c r="AL13" i="8"/>
  <c r="AS13" i="8"/>
  <c r="AR13" i="8"/>
  <c r="AQ13" i="8"/>
  <c r="AP13" i="8"/>
  <c r="AN13" i="8"/>
  <c r="AM13" i="8"/>
  <c r="AO13" i="8"/>
  <c r="AU13" i="8"/>
  <c r="AV13" i="8"/>
  <c r="AW13" i="8"/>
  <c r="AX13" i="8"/>
  <c r="AY13" i="8"/>
  <c r="AZ13" i="8"/>
  <c r="BA13" i="8"/>
  <c r="BB13" i="8"/>
  <c r="BC13" i="8"/>
  <c r="BD13" i="8"/>
  <c r="BE13" i="8"/>
  <c r="BF13" i="8"/>
  <c r="AD10" i="3"/>
  <c r="AH12" i="23"/>
  <c r="U11" i="12" s="1"/>
  <c r="AI7" i="3"/>
  <c r="AK7" i="3" s="1"/>
  <c r="AK8" i="3"/>
  <c r="L5" i="8"/>
  <c r="BX5" i="9"/>
  <c r="BY5" i="9" s="1"/>
  <c r="S5" i="11" s="1"/>
  <c r="P5" i="11" s="1"/>
  <c r="AI9" i="3"/>
  <c r="AJ9" i="3"/>
  <c r="AK6" i="3"/>
  <c r="AK6" i="9"/>
  <c r="AJ6" i="9"/>
  <c r="AL5" i="9"/>
  <c r="AG12" i="23"/>
  <c r="W11" i="12" s="1"/>
  <c r="J6" i="9"/>
  <c r="Q6" i="9"/>
  <c r="G11" i="12"/>
  <c r="G10" i="9"/>
  <c r="G10" i="3"/>
  <c r="N10" i="3" s="1"/>
  <c r="E10" i="12"/>
  <c r="R9" i="9"/>
  <c r="F11" i="12"/>
  <c r="E11" i="9"/>
  <c r="E11" i="3"/>
  <c r="D5" i="11"/>
  <c r="S11" i="6"/>
  <c r="R11" i="6" s="1"/>
  <c r="AA12" i="17" s="1"/>
  <c r="Q10" i="6"/>
  <c r="AD11" i="17" s="1"/>
  <c r="AC10" i="3" s="1"/>
  <c r="AB19" i="22"/>
  <c r="A18" i="6"/>
  <c r="T20" i="22"/>
  <c r="AC22" i="23"/>
  <c r="U23" i="23"/>
  <c r="U21" i="22"/>
  <c r="P20" i="6" s="1"/>
  <c r="AC20" i="22"/>
  <c r="U12" i="6"/>
  <c r="AB12" i="6"/>
  <c r="X12" i="6"/>
  <c r="AC12" i="6"/>
  <c r="T12" i="6"/>
  <c r="AA12" i="6"/>
  <c r="W12" i="6"/>
  <c r="X13" i="6"/>
  <c r="Y12" i="6"/>
  <c r="P5" i="9"/>
  <c r="AZ5" i="3"/>
  <c r="BA5" i="3" s="1"/>
  <c r="Z5" i="11" s="1"/>
  <c r="S5" i="9"/>
  <c r="K5" i="8" s="1"/>
  <c r="N5" i="8" s="1"/>
  <c r="O5" i="8" s="1"/>
  <c r="P9" i="12"/>
  <c r="K10" i="12"/>
  <c r="B10" i="3"/>
  <c r="H6" i="3"/>
  <c r="L6" i="3" s="1"/>
  <c r="N6" i="9" s="1"/>
  <c r="Q6" i="3"/>
  <c r="P6" i="3"/>
  <c r="T6" i="8" s="1"/>
  <c r="B7" i="9"/>
  <c r="Z13" i="6"/>
  <c r="V13" i="6"/>
  <c r="W13" i="6"/>
  <c r="J7" i="12"/>
  <c r="AA9" i="7"/>
  <c r="J8" i="12" s="1"/>
  <c r="V5" i="9"/>
  <c r="BA5" i="9" s="1"/>
  <c r="BC5" i="9" s="1"/>
  <c r="BQ5" i="9" s="1"/>
  <c r="BR5" i="9" s="1"/>
  <c r="T5" i="9"/>
  <c r="W5" i="8" s="1"/>
  <c r="U5" i="9"/>
  <c r="AZ5" i="9" s="1"/>
  <c r="BM5" i="9" s="1"/>
  <c r="BN5" i="9" s="1"/>
  <c r="AD9" i="7"/>
  <c r="AC9" i="7"/>
  <c r="M7" i="12"/>
  <c r="AG7" i="9"/>
  <c r="O7" i="12"/>
  <c r="B7" i="12" s="1"/>
  <c r="AH7" i="9"/>
  <c r="AM7" i="9" s="1"/>
  <c r="B9" i="6"/>
  <c r="C9" i="6"/>
  <c r="E11" i="6"/>
  <c r="F11" i="6"/>
  <c r="K11" i="6"/>
  <c r="M11" i="6"/>
  <c r="I11" i="6"/>
  <c r="L11" i="6"/>
  <c r="G11" i="6"/>
  <c r="H11" i="6"/>
  <c r="N11" i="6"/>
  <c r="J11" i="6"/>
  <c r="D10" i="6"/>
  <c r="O7" i="3"/>
  <c r="H7" i="3"/>
  <c r="M7" i="3" s="1"/>
  <c r="M7" i="9" s="1"/>
  <c r="Q7" i="3"/>
  <c r="P7" i="3"/>
  <c r="M11" i="8"/>
  <c r="AU11" i="3"/>
  <c r="Q32" i="7"/>
  <c r="P32" i="7"/>
  <c r="N32" i="7"/>
  <c r="O32" i="7"/>
  <c r="J8" i="3"/>
  <c r="L8" i="9"/>
  <c r="A15" i="12"/>
  <c r="I9" i="12"/>
  <c r="H10" i="12"/>
  <c r="H12" i="5"/>
  <c r="I12" i="5"/>
  <c r="AI13" i="23" s="1"/>
  <c r="K9" i="9"/>
  <c r="I9" i="3"/>
  <c r="F10" i="9"/>
  <c r="F10" i="3"/>
  <c r="A15" i="11"/>
  <c r="L14" i="5"/>
  <c r="O14" i="5"/>
  <c r="J13" i="5"/>
  <c r="N14" i="5"/>
  <c r="T14" i="5"/>
  <c r="A15" i="5"/>
  <c r="T15" i="5" s="1"/>
  <c r="F12" i="5"/>
  <c r="AF13" i="23" s="1"/>
  <c r="AO12" i="9" s="1"/>
  <c r="P14" i="5"/>
  <c r="Q14" i="5"/>
  <c r="K14" i="5"/>
  <c r="M14" i="5"/>
  <c r="D12" i="5"/>
  <c r="S14" i="5"/>
  <c r="G12" i="5"/>
  <c r="B11" i="5"/>
  <c r="AD12" i="23" s="1"/>
  <c r="C12" i="5"/>
  <c r="E12" i="5"/>
  <c r="AE13" i="23" s="1"/>
  <c r="Z11" i="3"/>
  <c r="A14" i="8"/>
  <c r="B12" i="8" l="1"/>
  <c r="AJ12" i="8" s="1"/>
  <c r="G12" i="8"/>
  <c r="C12" i="8"/>
  <c r="D12" i="8" s="1"/>
  <c r="AR14" i="8"/>
  <c r="AQ14" i="8"/>
  <c r="AP14" i="8"/>
  <c r="AO14" i="8"/>
  <c r="AN14" i="8"/>
  <c r="AU14" i="8"/>
  <c r="AM14" i="8"/>
  <c r="AT14" i="8"/>
  <c r="AL14" i="8"/>
  <c r="AS14" i="8"/>
  <c r="AV14" i="8"/>
  <c r="AW14" i="8"/>
  <c r="AX14" i="8"/>
  <c r="AY14" i="8"/>
  <c r="AZ14" i="8"/>
  <c r="BA14" i="8"/>
  <c r="BB14" i="8"/>
  <c r="BC14" i="8"/>
  <c r="BD14" i="8"/>
  <c r="BE14" i="8"/>
  <c r="BF14" i="8"/>
  <c r="AK13" i="8"/>
  <c r="AD11" i="3"/>
  <c r="AH13" i="23"/>
  <c r="U12" i="12" s="1"/>
  <c r="AM7" i="3"/>
  <c r="AM6" i="3"/>
  <c r="AK9" i="3"/>
  <c r="AI10" i="3"/>
  <c r="AJ10" i="3"/>
  <c r="AL6" i="9"/>
  <c r="AJ7" i="9"/>
  <c r="AK7" i="9"/>
  <c r="AG13" i="23"/>
  <c r="W12" i="12" s="1"/>
  <c r="X6" i="9"/>
  <c r="L6" i="8" s="1"/>
  <c r="W6" i="9"/>
  <c r="BB6" i="9" s="1"/>
  <c r="J7" i="9"/>
  <c r="AJ8" i="23" s="1"/>
  <c r="AK8" i="23" s="1"/>
  <c r="Q7" i="9"/>
  <c r="AJ7" i="23"/>
  <c r="AK7" i="23" s="1"/>
  <c r="H6" i="8"/>
  <c r="I6" i="8" s="1"/>
  <c r="R10" i="9"/>
  <c r="E12" i="3"/>
  <c r="E12" i="9"/>
  <c r="F12" i="12"/>
  <c r="G11" i="3"/>
  <c r="N11" i="3" s="1"/>
  <c r="G11" i="9"/>
  <c r="E11" i="12"/>
  <c r="G12" i="12"/>
  <c r="AU5" i="9"/>
  <c r="BV5" i="9" s="1"/>
  <c r="BW5" i="9" s="1"/>
  <c r="O5" i="11" s="1"/>
  <c r="Q11" i="6"/>
  <c r="AD12" i="17" s="1"/>
  <c r="AC11" i="3" s="1"/>
  <c r="AC23" i="23"/>
  <c r="U24" i="23"/>
  <c r="AB20" i="22"/>
  <c r="A19" i="6"/>
  <c r="T21" i="22"/>
  <c r="U22" i="22"/>
  <c r="P21" i="6" s="1"/>
  <c r="AC21" i="22"/>
  <c r="AC13" i="6"/>
  <c r="U13" i="6"/>
  <c r="Y13" i="6"/>
  <c r="AB13" i="6"/>
  <c r="AA13" i="6"/>
  <c r="T13" i="6"/>
  <c r="S12" i="6"/>
  <c r="Q12" i="6" s="1"/>
  <c r="AD13" i="17" s="1"/>
  <c r="V14" i="6"/>
  <c r="P10" i="12"/>
  <c r="P5" i="8"/>
  <c r="AR5" i="9"/>
  <c r="S6" i="8"/>
  <c r="K11" i="12"/>
  <c r="B11" i="3"/>
  <c r="M6" i="3"/>
  <c r="M6" i="9" s="1"/>
  <c r="U6" i="9" s="1"/>
  <c r="AZ6" i="9" s="1"/>
  <c r="BM6" i="9" s="1"/>
  <c r="P6" i="9"/>
  <c r="K6" i="3"/>
  <c r="R6" i="3"/>
  <c r="AS6" i="3" s="1"/>
  <c r="AB14" i="6"/>
  <c r="AC14" i="6"/>
  <c r="AA14" i="6"/>
  <c r="Z14" i="6"/>
  <c r="P8" i="3"/>
  <c r="AM8" i="3" s="1"/>
  <c r="B8" i="9"/>
  <c r="J5" i="8"/>
  <c r="AA10" i="7"/>
  <c r="B9" i="9" s="1"/>
  <c r="AD10" i="7"/>
  <c r="AC10" i="7"/>
  <c r="AG8" i="9"/>
  <c r="M8" i="12"/>
  <c r="O8" i="12"/>
  <c r="B8" i="12" s="1"/>
  <c r="AH8" i="9"/>
  <c r="AM8" i="9" s="1"/>
  <c r="K7" i="3"/>
  <c r="D11" i="6"/>
  <c r="B10" i="6"/>
  <c r="C10" i="6"/>
  <c r="T7" i="8"/>
  <c r="S7" i="8" s="1"/>
  <c r="N12" i="6"/>
  <c r="L12" i="6"/>
  <c r="K12" i="6"/>
  <c r="F12" i="6"/>
  <c r="H12" i="6"/>
  <c r="J12" i="6"/>
  <c r="M12" i="6"/>
  <c r="I12" i="6"/>
  <c r="G12" i="6"/>
  <c r="E12" i="6"/>
  <c r="L7" i="3"/>
  <c r="N7" i="9" s="1"/>
  <c r="R7" i="3"/>
  <c r="AS7" i="3" s="1"/>
  <c r="M12" i="8"/>
  <c r="AU12" i="3"/>
  <c r="O33" i="7"/>
  <c r="Q33" i="7"/>
  <c r="N33" i="7"/>
  <c r="P33" i="7"/>
  <c r="Q34" i="7"/>
  <c r="N34" i="7"/>
  <c r="O34" i="7"/>
  <c r="P34" i="7"/>
  <c r="J9" i="3"/>
  <c r="A16" i="12"/>
  <c r="C2" i="12" s="1"/>
  <c r="I10" i="12"/>
  <c r="H11" i="12"/>
  <c r="H13" i="5"/>
  <c r="I13" i="5"/>
  <c r="AI14" i="23" s="1"/>
  <c r="L9" i="9"/>
  <c r="I10" i="3"/>
  <c r="K10" i="9"/>
  <c r="F11" i="9"/>
  <c r="F11" i="3"/>
  <c r="A16" i="11"/>
  <c r="F13" i="5"/>
  <c r="AF14" i="23" s="1"/>
  <c r="AO13" i="9" s="1"/>
  <c r="C13" i="5"/>
  <c r="D13" i="5"/>
  <c r="Q15" i="5"/>
  <c r="O15" i="5"/>
  <c r="P15" i="5"/>
  <c r="G13" i="5"/>
  <c r="K15" i="5"/>
  <c r="L15" i="5"/>
  <c r="E13" i="5"/>
  <c r="AE14" i="23" s="1"/>
  <c r="M15" i="5"/>
  <c r="S15" i="5"/>
  <c r="J14" i="5"/>
  <c r="A16" i="5"/>
  <c r="S16" i="5" s="1"/>
  <c r="R15" i="5"/>
  <c r="N15" i="5"/>
  <c r="B12" i="5"/>
  <c r="AD13" i="23" s="1"/>
  <c r="Z12" i="3"/>
  <c r="A15" i="8"/>
  <c r="AK14" i="8" l="1"/>
  <c r="AP15" i="8"/>
  <c r="AO15" i="8"/>
  <c r="AN15" i="8"/>
  <c r="AM15" i="8"/>
  <c r="AU15" i="8"/>
  <c r="AT15" i="8"/>
  <c r="AL15" i="8"/>
  <c r="AQ15" i="8"/>
  <c r="AS15" i="8"/>
  <c r="AR15" i="8"/>
  <c r="AV15" i="8"/>
  <c r="AW15" i="8"/>
  <c r="AX15" i="8"/>
  <c r="AY15" i="8"/>
  <c r="AZ15" i="8"/>
  <c r="BA15" i="8"/>
  <c r="BB15" i="8"/>
  <c r="BC15" i="8"/>
  <c r="BD15" i="8"/>
  <c r="BE15" i="8"/>
  <c r="BF15" i="8"/>
  <c r="B13" i="8"/>
  <c r="AJ13" i="8" s="1"/>
  <c r="C13" i="8"/>
  <c r="D13" i="8" s="1"/>
  <c r="G13" i="8"/>
  <c r="AD12" i="3"/>
  <c r="AH14" i="23"/>
  <c r="U13" i="12" s="1"/>
  <c r="AK10" i="3"/>
  <c r="AI11" i="3"/>
  <c r="AJ11" i="3"/>
  <c r="BT5" i="9"/>
  <c r="BK5" i="9"/>
  <c r="BL5" i="9" s="1"/>
  <c r="AK8" i="9"/>
  <c r="AJ8" i="9"/>
  <c r="AL7" i="9"/>
  <c r="S7" i="9"/>
  <c r="K7" i="8" s="1"/>
  <c r="N7" i="8" s="1"/>
  <c r="O7" i="8" s="1"/>
  <c r="P7" i="8" s="1"/>
  <c r="V7" i="9"/>
  <c r="BA7" i="9" s="1"/>
  <c r="AG14" i="23"/>
  <c r="W13" i="12" s="1"/>
  <c r="BX6" i="9"/>
  <c r="T7" i="9"/>
  <c r="O7" i="9"/>
  <c r="D7" i="11" s="1"/>
  <c r="U7" i="9"/>
  <c r="AZ7" i="9" s="1"/>
  <c r="BM7" i="9" s="1"/>
  <c r="X7" i="9"/>
  <c r="L7" i="8" s="1"/>
  <c r="W7" i="9"/>
  <c r="BB7" i="9" s="1"/>
  <c r="J8" i="9"/>
  <c r="Q8" i="9"/>
  <c r="H7" i="8"/>
  <c r="I7" i="8" s="1"/>
  <c r="J9" i="9"/>
  <c r="AJ10" i="23" s="1"/>
  <c r="AK10" i="23" s="1"/>
  <c r="Q9" i="9"/>
  <c r="R11" i="9"/>
  <c r="E13" i="9"/>
  <c r="E13" i="3"/>
  <c r="F13" i="12"/>
  <c r="E12" i="12"/>
  <c r="G12" i="9"/>
  <c r="G12" i="3"/>
  <c r="N12" i="3" s="1"/>
  <c r="G13" i="12"/>
  <c r="S13" i="6"/>
  <c r="Q13" i="6" s="1"/>
  <c r="AD14" i="17" s="1"/>
  <c r="A20" i="6"/>
  <c r="AB21" i="22"/>
  <c r="T22" i="22"/>
  <c r="AC24" i="23"/>
  <c r="U25" i="23"/>
  <c r="U23" i="22"/>
  <c r="P22" i="6" s="1"/>
  <c r="AC22" i="22"/>
  <c r="R12" i="6"/>
  <c r="AA13" i="17" s="1"/>
  <c r="K12" i="12" s="1"/>
  <c r="W14" i="6"/>
  <c r="Y14" i="6"/>
  <c r="T14" i="6"/>
  <c r="X14" i="6"/>
  <c r="U14" i="6"/>
  <c r="AC15" i="6"/>
  <c r="R5" i="8"/>
  <c r="AF5" i="8" s="1"/>
  <c r="V5" i="8"/>
  <c r="X5" i="8" s="1"/>
  <c r="Y5" i="8" s="1"/>
  <c r="P11" i="12"/>
  <c r="AC12" i="3"/>
  <c r="S6" i="9"/>
  <c r="K6" i="8" s="1"/>
  <c r="N6" i="8" s="1"/>
  <c r="O6" i="8" s="1"/>
  <c r="P6" i="8" s="1"/>
  <c r="AZ6" i="3"/>
  <c r="BA6" i="3" s="1"/>
  <c r="Z6" i="11" s="1"/>
  <c r="T6" i="9"/>
  <c r="W6" i="8" s="1"/>
  <c r="O6" i="9"/>
  <c r="D6" i="11" s="1"/>
  <c r="V6" i="9"/>
  <c r="BA6" i="9" s="1"/>
  <c r="BC6" i="9" s="1"/>
  <c r="BQ6" i="9" s="1"/>
  <c r="Q8" i="3"/>
  <c r="O8" i="3"/>
  <c r="H8" i="3"/>
  <c r="K8" i="3" s="1"/>
  <c r="P9" i="3"/>
  <c r="AM9" i="3" s="1"/>
  <c r="J9" i="12"/>
  <c r="AA11" i="7"/>
  <c r="J10" i="12" s="1"/>
  <c r="AC11" i="7"/>
  <c r="AD11" i="7"/>
  <c r="M9" i="12"/>
  <c r="AG9" i="9"/>
  <c r="AH9" i="9"/>
  <c r="AM9" i="9" s="1"/>
  <c r="O9" i="12"/>
  <c r="B9" i="12" s="1"/>
  <c r="T8" i="8"/>
  <c r="P7" i="9"/>
  <c r="F13" i="6"/>
  <c r="G13" i="6"/>
  <c r="H13" i="6"/>
  <c r="K13" i="6"/>
  <c r="N13" i="6"/>
  <c r="M13" i="6"/>
  <c r="E13" i="6"/>
  <c r="L13" i="6"/>
  <c r="I13" i="6"/>
  <c r="J13" i="6"/>
  <c r="C11" i="6"/>
  <c r="B11" i="6"/>
  <c r="D12" i="6"/>
  <c r="M13" i="8"/>
  <c r="AU13" i="3"/>
  <c r="AG5" i="8"/>
  <c r="Q5" i="8"/>
  <c r="AH5" i="8"/>
  <c r="Q35" i="7"/>
  <c r="O35" i="7"/>
  <c r="N35" i="7"/>
  <c r="P35" i="7"/>
  <c r="J10" i="3"/>
  <c r="L10" i="9"/>
  <c r="A17" i="12"/>
  <c r="I11" i="12"/>
  <c r="H12" i="12"/>
  <c r="H14" i="5"/>
  <c r="I14" i="5"/>
  <c r="AI15" i="23" s="1"/>
  <c r="I11" i="3"/>
  <c r="K11" i="9"/>
  <c r="F12" i="9"/>
  <c r="F12" i="3"/>
  <c r="A17" i="11"/>
  <c r="N16" i="5"/>
  <c r="R16" i="5"/>
  <c r="B13" i="5"/>
  <c r="AD14" i="23" s="1"/>
  <c r="E14" i="5"/>
  <c r="AE15" i="23" s="1"/>
  <c r="K16" i="5"/>
  <c r="D14" i="5"/>
  <c r="T16" i="5"/>
  <c r="G14" i="5"/>
  <c r="A17" i="5"/>
  <c r="O17" i="5" s="1"/>
  <c r="C14" i="5"/>
  <c r="F14" i="5"/>
  <c r="AF15" i="23" s="1"/>
  <c r="O16" i="5"/>
  <c r="M16" i="5"/>
  <c r="L16" i="5"/>
  <c r="P16" i="5"/>
  <c r="J15" i="5"/>
  <c r="Q16" i="5"/>
  <c r="Z13" i="3"/>
  <c r="A16" i="8"/>
  <c r="AK15" i="8" l="1"/>
  <c r="AO16" i="8"/>
  <c r="AN16" i="8"/>
  <c r="AU16" i="8"/>
  <c r="AM16" i="8"/>
  <c r="AT16" i="8"/>
  <c r="AL16" i="8"/>
  <c r="AS16" i="8"/>
  <c r="AR16" i="8"/>
  <c r="AP16" i="8"/>
  <c r="AQ16" i="8"/>
  <c r="AV16" i="8"/>
  <c r="AW16" i="8"/>
  <c r="AX16" i="8"/>
  <c r="AY16" i="8"/>
  <c r="AZ16" i="8"/>
  <c r="BA16" i="8"/>
  <c r="BB16" i="8"/>
  <c r="BC16" i="8"/>
  <c r="BD16" i="8"/>
  <c r="BE16" i="8"/>
  <c r="BF16" i="8"/>
  <c r="B14" i="8"/>
  <c r="AJ14" i="8" s="1"/>
  <c r="C14" i="8"/>
  <c r="D14" i="8" s="1"/>
  <c r="G14" i="8"/>
  <c r="AD13" i="3"/>
  <c r="AH15" i="23"/>
  <c r="U14" i="12" s="1"/>
  <c r="AK11" i="3"/>
  <c r="AI12" i="3"/>
  <c r="AJ12" i="3"/>
  <c r="BU5" i="9"/>
  <c r="R5" i="11" s="1"/>
  <c r="AU7" i="9"/>
  <c r="BV7" i="9" s="1"/>
  <c r="BW7" i="9" s="1"/>
  <c r="O7" i="11" s="1"/>
  <c r="AJ9" i="9"/>
  <c r="AK9" i="9"/>
  <c r="AL8" i="9"/>
  <c r="AR7" i="9"/>
  <c r="BC7" i="9"/>
  <c r="BQ7" i="9" s="1"/>
  <c r="BR7" i="9" s="1"/>
  <c r="R13" i="6"/>
  <c r="AA14" i="17" s="1"/>
  <c r="K13" i="12" s="1"/>
  <c r="V7" i="8"/>
  <c r="W7" i="8"/>
  <c r="J7" i="8"/>
  <c r="Q7" i="8" s="1"/>
  <c r="AG15" i="23"/>
  <c r="W14" i="12" s="1"/>
  <c r="BX7" i="9"/>
  <c r="BY7" i="9" s="1"/>
  <c r="S7" i="11" s="1"/>
  <c r="P7" i="11" s="1"/>
  <c r="AZ7" i="3"/>
  <c r="BA7" i="3" s="1"/>
  <c r="Z7" i="11" s="1"/>
  <c r="BN7" i="9"/>
  <c r="X9" i="9"/>
  <c r="L9" i="8" s="1"/>
  <c r="X8" i="9"/>
  <c r="L8" i="8" s="1"/>
  <c r="H8" i="8"/>
  <c r="I8" i="8" s="1"/>
  <c r="W8" i="9"/>
  <c r="BB8" i="9" s="1"/>
  <c r="AJ9" i="23"/>
  <c r="AK9" i="23" s="1"/>
  <c r="H9" i="8"/>
  <c r="I9" i="8" s="1"/>
  <c r="W9" i="9"/>
  <c r="BB9" i="9" s="1"/>
  <c r="AO14" i="9"/>
  <c r="G14" i="12"/>
  <c r="E13" i="12"/>
  <c r="G13" i="3"/>
  <c r="N13" i="3" s="1"/>
  <c r="G13" i="9"/>
  <c r="E14" i="9"/>
  <c r="E14" i="3"/>
  <c r="F14" i="12"/>
  <c r="R12" i="9"/>
  <c r="AB22" i="22"/>
  <c r="A21" i="6"/>
  <c r="T23" i="22"/>
  <c r="AC25" i="23"/>
  <c r="U26" i="23"/>
  <c r="B12" i="3"/>
  <c r="U24" i="22"/>
  <c r="P23" i="6" s="1"/>
  <c r="AC23" i="22"/>
  <c r="S14" i="6"/>
  <c r="Q14" i="6" s="1"/>
  <c r="AD15" i="17" s="1"/>
  <c r="AC14" i="3" s="1"/>
  <c r="T15" i="6"/>
  <c r="Y15" i="6"/>
  <c r="AA15" i="6"/>
  <c r="AB15" i="6"/>
  <c r="Y16" i="6"/>
  <c r="Z15" i="6"/>
  <c r="U15" i="6"/>
  <c r="V15" i="6"/>
  <c r="W15" i="6"/>
  <c r="X15" i="6"/>
  <c r="AA5" i="8"/>
  <c r="AD5" i="8"/>
  <c r="T5" i="3" s="1"/>
  <c r="W5" i="3" s="1"/>
  <c r="AL5" i="3" s="1"/>
  <c r="AX5" i="3" s="1"/>
  <c r="Z5" i="8"/>
  <c r="AE5" i="8" s="1"/>
  <c r="Z5" i="9"/>
  <c r="AC5" i="9" s="1"/>
  <c r="AT5" i="9" s="1"/>
  <c r="AV5" i="9" s="1"/>
  <c r="AA5" i="9"/>
  <c r="AD5" i="9" s="1"/>
  <c r="AX5" i="9" s="1"/>
  <c r="Y5" i="9"/>
  <c r="P12" i="12"/>
  <c r="P13" i="12"/>
  <c r="AR6" i="9"/>
  <c r="V6" i="8"/>
  <c r="X6" i="8" s="1"/>
  <c r="Y6" i="8" s="1"/>
  <c r="AA6" i="8" s="1"/>
  <c r="AC6" i="8" s="1"/>
  <c r="U6" i="3" s="1"/>
  <c r="X6" i="3" s="1"/>
  <c r="AO6" i="3" s="1"/>
  <c r="AU6" i="9"/>
  <c r="BV6" i="9" s="1"/>
  <c r="BW6" i="9" s="1"/>
  <c r="O6" i="11" s="1"/>
  <c r="BY6" i="9"/>
  <c r="S6" i="11" s="1"/>
  <c r="P6" i="11" s="1"/>
  <c r="J6" i="8"/>
  <c r="Q6" i="8" s="1"/>
  <c r="BN6" i="9"/>
  <c r="BR6" i="9"/>
  <c r="R8" i="3"/>
  <c r="AS8" i="3" s="1"/>
  <c r="L8" i="3"/>
  <c r="N8" i="9" s="1"/>
  <c r="P8" i="9" s="1"/>
  <c r="M8" i="3"/>
  <c r="M8" i="9" s="1"/>
  <c r="O8" i="9" s="1"/>
  <c r="D8" i="11" s="1"/>
  <c r="H9" i="3"/>
  <c r="M9" i="3" s="1"/>
  <c r="M9" i="9" s="1"/>
  <c r="V9" i="9" s="1"/>
  <c r="BA9" i="9" s="1"/>
  <c r="S8" i="8"/>
  <c r="Q9" i="3"/>
  <c r="U16" i="6"/>
  <c r="O9" i="3"/>
  <c r="AA12" i="7"/>
  <c r="J11" i="12" s="1"/>
  <c r="B10" i="9"/>
  <c r="H10" i="3"/>
  <c r="K10" i="3" s="1"/>
  <c r="AD12" i="7"/>
  <c r="AC12" i="7"/>
  <c r="AH10" i="9"/>
  <c r="AM10" i="9" s="1"/>
  <c r="O10" i="12"/>
  <c r="B10" i="12" s="1"/>
  <c r="M10" i="12"/>
  <c r="AG10" i="9"/>
  <c r="I14" i="6"/>
  <c r="F14" i="6"/>
  <c r="M14" i="6"/>
  <c r="K14" i="6"/>
  <c r="G14" i="6"/>
  <c r="J14" i="6"/>
  <c r="H14" i="6"/>
  <c r="E14" i="6"/>
  <c r="L14" i="6"/>
  <c r="N14" i="6"/>
  <c r="D13" i="6"/>
  <c r="C12" i="6"/>
  <c r="B12" i="6"/>
  <c r="T9" i="8"/>
  <c r="M14" i="8"/>
  <c r="AU14" i="3"/>
  <c r="AI5" i="8"/>
  <c r="Q5" i="12" s="1"/>
  <c r="L11" i="9"/>
  <c r="J11" i="3"/>
  <c r="I12" i="12"/>
  <c r="A18" i="12"/>
  <c r="H13" i="12"/>
  <c r="H15" i="5"/>
  <c r="I15" i="5"/>
  <c r="AI16" i="23" s="1"/>
  <c r="I12" i="3"/>
  <c r="K12" i="9"/>
  <c r="F13" i="9"/>
  <c r="F13" i="3"/>
  <c r="A18" i="11"/>
  <c r="C15" i="5"/>
  <c r="S17" i="5"/>
  <c r="B14" i="5"/>
  <c r="AD15" i="23" s="1"/>
  <c r="D15" i="5"/>
  <c r="G15" i="5"/>
  <c r="A18" i="5"/>
  <c r="Q18" i="5" s="1"/>
  <c r="P17" i="5"/>
  <c r="F15" i="5"/>
  <c r="AF16" i="23" s="1"/>
  <c r="Q17" i="5"/>
  <c r="E15" i="5"/>
  <c r="AE16" i="23" s="1"/>
  <c r="T17" i="5"/>
  <c r="R17" i="5"/>
  <c r="M17" i="5"/>
  <c r="K17" i="5"/>
  <c r="N17" i="5"/>
  <c r="J16" i="5"/>
  <c r="L17" i="5"/>
  <c r="Z14" i="3"/>
  <c r="A17" i="8"/>
  <c r="AK16" i="8" l="1"/>
  <c r="AO17" i="8"/>
  <c r="AN17" i="8"/>
  <c r="AU17" i="8"/>
  <c r="AM17" i="8"/>
  <c r="AT17" i="8"/>
  <c r="AL17" i="8"/>
  <c r="AS17" i="8"/>
  <c r="AP17" i="8"/>
  <c r="AQ17" i="8"/>
  <c r="AR17" i="8"/>
  <c r="AV17" i="8"/>
  <c r="AW17" i="8"/>
  <c r="AX17" i="8"/>
  <c r="AY17" i="8"/>
  <c r="AZ17" i="8"/>
  <c r="BA17" i="8"/>
  <c r="BB17" i="8"/>
  <c r="BC17" i="8"/>
  <c r="BD17" i="8"/>
  <c r="BE17" i="8"/>
  <c r="BF17" i="8"/>
  <c r="B15" i="8"/>
  <c r="AJ15" i="8" s="1"/>
  <c r="G15" i="8"/>
  <c r="C15" i="8"/>
  <c r="D15" i="8" s="1"/>
  <c r="AD14" i="3"/>
  <c r="AH16" i="23"/>
  <c r="U15" i="12" s="1"/>
  <c r="AK12" i="3"/>
  <c r="AJ13" i="3"/>
  <c r="AY5" i="3"/>
  <c r="V5" i="11" s="1"/>
  <c r="BT7" i="9"/>
  <c r="BU7" i="9" s="1"/>
  <c r="R7" i="11" s="1"/>
  <c r="BK7" i="9"/>
  <c r="BL7" i="9" s="1"/>
  <c r="BT6" i="9"/>
  <c r="BU6" i="9" s="1"/>
  <c r="R6" i="11" s="1"/>
  <c r="BK6" i="9"/>
  <c r="BL6" i="9" s="1"/>
  <c r="AJ10" i="9"/>
  <c r="AK10" i="9"/>
  <c r="AL9" i="9"/>
  <c r="B13" i="3"/>
  <c r="AZ8" i="3"/>
  <c r="BA8" i="3" s="1"/>
  <c r="Z8" i="11" s="1"/>
  <c r="X7" i="8"/>
  <c r="Y7" i="8" s="1"/>
  <c r="AA7" i="8" s="1"/>
  <c r="AC7" i="8" s="1"/>
  <c r="U7" i="3" s="1"/>
  <c r="X7" i="3" s="1"/>
  <c r="AO7" i="3" s="1"/>
  <c r="AG16" i="23"/>
  <c r="W15" i="12" s="1"/>
  <c r="AZ9" i="3"/>
  <c r="BA9" i="3" s="1"/>
  <c r="Z9" i="11" s="1"/>
  <c r="BX8" i="9"/>
  <c r="BY8" i="9" s="1"/>
  <c r="S8" i="11" s="1"/>
  <c r="P8" i="11" s="1"/>
  <c r="BC9" i="9"/>
  <c r="BQ9" i="9" s="1"/>
  <c r="J10" i="9"/>
  <c r="AJ11" i="23" s="1"/>
  <c r="AK11" i="23" s="1"/>
  <c r="Q10" i="9"/>
  <c r="AO15" i="9"/>
  <c r="G15" i="12"/>
  <c r="R13" i="9"/>
  <c r="AD15" i="3"/>
  <c r="F15" i="12"/>
  <c r="E15" i="9"/>
  <c r="E15" i="3"/>
  <c r="G14" i="3"/>
  <c r="N14" i="3" s="1"/>
  <c r="G14" i="9"/>
  <c r="E14" i="12"/>
  <c r="R14" i="6"/>
  <c r="AA15" i="17" s="1"/>
  <c r="K14" i="12" s="1"/>
  <c r="AC26" i="23"/>
  <c r="U27" i="23"/>
  <c r="A22" i="6"/>
  <c r="AB23" i="22"/>
  <c r="T24" i="22"/>
  <c r="U25" i="22"/>
  <c r="P24" i="6" s="1"/>
  <c r="AC24" i="22"/>
  <c r="S15" i="6"/>
  <c r="R15" i="6" s="1"/>
  <c r="AA16" i="17" s="1"/>
  <c r="AB16" i="6"/>
  <c r="W16" i="6"/>
  <c r="T16" i="6"/>
  <c r="V16" i="6"/>
  <c r="AA16" i="6"/>
  <c r="AC16" i="6"/>
  <c r="Z16" i="6"/>
  <c r="X16" i="6"/>
  <c r="Z17" i="6"/>
  <c r="V5" i="3"/>
  <c r="Y5" i="3" s="1"/>
  <c r="AC13" i="3"/>
  <c r="AI13" i="3" s="1"/>
  <c r="AN5" i="3"/>
  <c r="AC5" i="8"/>
  <c r="AB5" i="9"/>
  <c r="AQ5" i="9" s="1"/>
  <c r="P14" i="12"/>
  <c r="AD6" i="8"/>
  <c r="T6" i="3" s="1"/>
  <c r="W6" i="3" s="1"/>
  <c r="AL6" i="3" s="1"/>
  <c r="AN6" i="3" s="1"/>
  <c r="Z6" i="8"/>
  <c r="AE6" i="8" s="1"/>
  <c r="V6" i="3" s="1"/>
  <c r="Y6" i="3" s="1"/>
  <c r="AR6" i="3" s="1"/>
  <c r="BF6" i="3" s="1"/>
  <c r="BG6" i="3" s="1"/>
  <c r="W6" i="11" s="1"/>
  <c r="R9" i="3"/>
  <c r="AS9" i="3" s="1"/>
  <c r="T9" i="9"/>
  <c r="W9" i="8" s="1"/>
  <c r="S9" i="8"/>
  <c r="S8" i="9"/>
  <c r="K8" i="8" s="1"/>
  <c r="N8" i="8" s="1"/>
  <c r="O8" i="8" s="1"/>
  <c r="P8" i="8" s="1"/>
  <c r="O9" i="9"/>
  <c r="D9" i="11" s="1"/>
  <c r="S9" i="9"/>
  <c r="K9" i="8" s="1"/>
  <c r="N9" i="8" s="1"/>
  <c r="O9" i="8" s="1"/>
  <c r="P9" i="8" s="1"/>
  <c r="AH9" i="8" s="1"/>
  <c r="AA9" i="9" s="1"/>
  <c r="AD9" i="9" s="1"/>
  <c r="AX9" i="9" s="1"/>
  <c r="T8" i="9"/>
  <c r="W8" i="8" s="1"/>
  <c r="U9" i="9"/>
  <c r="AZ9" i="9" s="1"/>
  <c r="BM9" i="9" s="1"/>
  <c r="U8" i="9"/>
  <c r="AZ8" i="9" s="1"/>
  <c r="BM8" i="9" s="1"/>
  <c r="BN8" i="9" s="1"/>
  <c r="K9" i="3"/>
  <c r="L9" i="3"/>
  <c r="N9" i="9" s="1"/>
  <c r="P9" i="9" s="1"/>
  <c r="V8" i="9"/>
  <c r="BA8" i="9" s="1"/>
  <c r="BC8" i="9" s="1"/>
  <c r="BQ8" i="9" s="1"/>
  <c r="BR8" i="9" s="1"/>
  <c r="H11" i="3"/>
  <c r="K11" i="3" s="1"/>
  <c r="B11" i="9"/>
  <c r="O10" i="3"/>
  <c r="AA13" i="7"/>
  <c r="J12" i="12" s="1"/>
  <c r="Q10" i="3"/>
  <c r="P10" i="3"/>
  <c r="M11" i="12"/>
  <c r="AG11" i="9"/>
  <c r="AD13" i="7"/>
  <c r="AC13" i="7"/>
  <c r="O11" i="12"/>
  <c r="B11" i="12" s="1"/>
  <c r="AH11" i="9"/>
  <c r="AM11" i="9" s="1"/>
  <c r="M10" i="3"/>
  <c r="M10" i="9" s="1"/>
  <c r="D14" i="6"/>
  <c r="J15" i="6"/>
  <c r="M15" i="6"/>
  <c r="E15" i="6"/>
  <c r="F15" i="6"/>
  <c r="H15" i="6"/>
  <c r="G15" i="6"/>
  <c r="L15" i="6"/>
  <c r="K15" i="6"/>
  <c r="N15" i="6"/>
  <c r="I15" i="6"/>
  <c r="L10" i="3"/>
  <c r="N10" i="9" s="1"/>
  <c r="R10" i="3"/>
  <c r="AS10" i="3" s="1"/>
  <c r="B13" i="6"/>
  <c r="C13" i="6"/>
  <c r="BX9" i="9"/>
  <c r="M15" i="8"/>
  <c r="AU15" i="3"/>
  <c r="BB6" i="3"/>
  <c r="BC6" i="3" s="1"/>
  <c r="X6" i="11" s="1"/>
  <c r="AG6" i="8"/>
  <c r="Y6" i="9" s="1"/>
  <c r="AB6" i="9" s="1"/>
  <c r="AQ6" i="9" s="1"/>
  <c r="AS6" i="9" s="1"/>
  <c r="AH7" i="8"/>
  <c r="AA7" i="9" s="1"/>
  <c r="AD7" i="9" s="1"/>
  <c r="AX7" i="9" s="1"/>
  <c r="AG7" i="8"/>
  <c r="Y7" i="9" s="1"/>
  <c r="AB7" i="9" s="1"/>
  <c r="AQ7" i="9" s="1"/>
  <c r="AS7" i="9" s="1"/>
  <c r="AH6" i="8"/>
  <c r="AA6" i="9" s="1"/>
  <c r="AD6" i="9" s="1"/>
  <c r="AX6" i="9" s="1"/>
  <c r="R7" i="8"/>
  <c r="AF7" i="8" s="1"/>
  <c r="Z7" i="9" s="1"/>
  <c r="AC7" i="9" s="1"/>
  <c r="AT7" i="9" s="1"/>
  <c r="AV7" i="9" s="1"/>
  <c r="R6" i="8"/>
  <c r="AF6" i="8" s="1"/>
  <c r="Z6" i="9" s="1"/>
  <c r="AC6" i="9" s="1"/>
  <c r="AT6" i="9" s="1"/>
  <c r="AV6" i="9" s="1"/>
  <c r="Q36" i="7"/>
  <c r="O36" i="7"/>
  <c r="N36" i="7"/>
  <c r="P36" i="7"/>
  <c r="J12" i="3"/>
  <c r="L12" i="9"/>
  <c r="A19" i="12"/>
  <c r="I13" i="12"/>
  <c r="H14" i="12"/>
  <c r="H16" i="5"/>
  <c r="I16" i="5"/>
  <c r="AI17" i="23" s="1"/>
  <c r="I13" i="3"/>
  <c r="K13" i="9"/>
  <c r="F14" i="9"/>
  <c r="F14" i="3"/>
  <c r="A19" i="11"/>
  <c r="B15" i="5"/>
  <c r="AD16" i="23" s="1"/>
  <c r="A19" i="5"/>
  <c r="S19" i="5" s="1"/>
  <c r="S18" i="5"/>
  <c r="L18" i="5"/>
  <c r="N18" i="5"/>
  <c r="P18" i="5"/>
  <c r="R18" i="5"/>
  <c r="M18" i="5"/>
  <c r="K18" i="5"/>
  <c r="O18" i="5"/>
  <c r="T18" i="5"/>
  <c r="J17" i="5"/>
  <c r="F16" i="5"/>
  <c r="AF17" i="23" s="1"/>
  <c r="AO16" i="9" s="1"/>
  <c r="E16" i="5"/>
  <c r="AE17" i="23" s="1"/>
  <c r="D16" i="5"/>
  <c r="C16" i="5"/>
  <c r="G16" i="5"/>
  <c r="Z15" i="3"/>
  <c r="A18" i="8"/>
  <c r="AK17" i="8" l="1"/>
  <c r="AU18" i="8"/>
  <c r="AM18" i="8"/>
  <c r="AT18" i="8"/>
  <c r="AL18" i="8"/>
  <c r="AS18" i="8"/>
  <c r="AR18" i="8"/>
  <c r="AQ18" i="8"/>
  <c r="AN18" i="8"/>
  <c r="AP18" i="8"/>
  <c r="AO18" i="8"/>
  <c r="AV18" i="8"/>
  <c r="AW18" i="8"/>
  <c r="AX18" i="8"/>
  <c r="AY18" i="8"/>
  <c r="AZ18" i="8"/>
  <c r="BA18" i="8"/>
  <c r="BB18" i="8"/>
  <c r="BC18" i="8"/>
  <c r="BD18" i="8"/>
  <c r="BE18" i="8"/>
  <c r="BF18" i="8"/>
  <c r="B16" i="8"/>
  <c r="AJ16" i="8" s="1"/>
  <c r="C16" i="8"/>
  <c r="D16" i="8" s="1"/>
  <c r="G16" i="8"/>
  <c r="AH17" i="23"/>
  <c r="U16" i="12" s="1"/>
  <c r="T10" i="8"/>
  <c r="S10" i="8" s="1"/>
  <c r="AM10" i="3"/>
  <c r="AK13" i="3"/>
  <c r="AI14" i="3"/>
  <c r="AJ14" i="3"/>
  <c r="AR5" i="3"/>
  <c r="BF5" i="3" s="1"/>
  <c r="BG5" i="3" s="1"/>
  <c r="W5" i="11" s="1"/>
  <c r="AJ11" i="9"/>
  <c r="AK11" i="9"/>
  <c r="AL10" i="9"/>
  <c r="U5" i="3"/>
  <c r="X5" i="3" s="1"/>
  <c r="AO5" i="3" s="1"/>
  <c r="BB5" i="3" s="1"/>
  <c r="Z7" i="8"/>
  <c r="AE7" i="8" s="1"/>
  <c r="V7" i="3" s="1"/>
  <c r="Y7" i="3" s="1"/>
  <c r="AR7" i="3" s="1"/>
  <c r="BF7" i="3" s="1"/>
  <c r="BG7" i="3" s="1"/>
  <c r="W7" i="11" s="1"/>
  <c r="AD7" i="8"/>
  <c r="T7" i="3" s="1"/>
  <c r="W7" i="3" s="1"/>
  <c r="AL7" i="3" s="1"/>
  <c r="AX7" i="3" s="1"/>
  <c r="AG17" i="23"/>
  <c r="W16" i="12" s="1"/>
  <c r="X10" i="9"/>
  <c r="L10" i="8" s="1"/>
  <c r="U10" i="9"/>
  <c r="AZ10" i="9" s="1"/>
  <c r="BM10" i="9" s="1"/>
  <c r="W10" i="9"/>
  <c r="BB10" i="9" s="1"/>
  <c r="H10" i="8"/>
  <c r="I10" i="8" s="1"/>
  <c r="J11" i="9"/>
  <c r="AJ12" i="23" s="1"/>
  <c r="AK12" i="23" s="1"/>
  <c r="Q11" i="9"/>
  <c r="F16" i="12"/>
  <c r="E16" i="9"/>
  <c r="E16" i="3"/>
  <c r="G16" i="12"/>
  <c r="G15" i="3"/>
  <c r="N15" i="3" s="1"/>
  <c r="E15" i="12"/>
  <c r="G15" i="9"/>
  <c r="R14" i="9"/>
  <c r="AD16" i="3"/>
  <c r="Q15" i="6"/>
  <c r="AD16" i="17" s="1"/>
  <c r="AC15" i="3" s="1"/>
  <c r="B14" i="3"/>
  <c r="A23" i="6"/>
  <c r="AB24" i="22"/>
  <c r="T25" i="22"/>
  <c r="AC27" i="23"/>
  <c r="U28" i="23"/>
  <c r="U26" i="22"/>
  <c r="P25" i="6" s="1"/>
  <c r="AC25" i="22"/>
  <c r="AB17" i="6"/>
  <c r="X17" i="6"/>
  <c r="T17" i="6"/>
  <c r="AA17" i="6"/>
  <c r="U17" i="6"/>
  <c r="V17" i="6"/>
  <c r="W17" i="6"/>
  <c r="AC17" i="6"/>
  <c r="Y17" i="6"/>
  <c r="S16" i="6"/>
  <c r="Q16" i="6" s="1"/>
  <c r="AD17" i="17" s="1"/>
  <c r="Y18" i="6"/>
  <c r="AS5" i="9"/>
  <c r="BI5" i="9"/>
  <c r="BJ5" i="9" s="1"/>
  <c r="AX6" i="3"/>
  <c r="B15" i="3"/>
  <c r="K15" i="12"/>
  <c r="BN9" i="9"/>
  <c r="J8" i="8"/>
  <c r="Q8" i="8" s="1"/>
  <c r="Q11" i="3"/>
  <c r="BY9" i="9"/>
  <c r="S9" i="11" s="1"/>
  <c r="P9" i="11" s="1"/>
  <c r="AR9" i="9"/>
  <c r="AU9" i="9"/>
  <c r="BV9" i="9" s="1"/>
  <c r="BW9" i="9" s="1"/>
  <c r="O9" i="11" s="1"/>
  <c r="J9" i="8"/>
  <c r="R9" i="8" s="1"/>
  <c r="AF9" i="8" s="1"/>
  <c r="Z9" i="9" s="1"/>
  <c r="AC9" i="9" s="1"/>
  <c r="AT9" i="9" s="1"/>
  <c r="V8" i="8"/>
  <c r="X8" i="8" s="1"/>
  <c r="Y8" i="8" s="1"/>
  <c r="AD8" i="8" s="1"/>
  <c r="T8" i="3" s="1"/>
  <c r="W8" i="3" s="1"/>
  <c r="AL8" i="3" s="1"/>
  <c r="AX8" i="3" s="1"/>
  <c r="AR8" i="9"/>
  <c r="AU8" i="9"/>
  <c r="BV8" i="9" s="1"/>
  <c r="BW8" i="9" s="1"/>
  <c r="O8" i="11" s="1"/>
  <c r="BR9" i="9"/>
  <c r="O11" i="3"/>
  <c r="Q12" i="3"/>
  <c r="P11" i="3"/>
  <c r="AM11" i="3" s="1"/>
  <c r="B12" i="9"/>
  <c r="X18" i="6"/>
  <c r="AA18" i="6"/>
  <c r="U18" i="6"/>
  <c r="W18" i="6"/>
  <c r="AA14" i="7"/>
  <c r="J13" i="12" s="1"/>
  <c r="AC14" i="7"/>
  <c r="AD14" i="7"/>
  <c r="M12" i="12"/>
  <c r="AG12" i="9"/>
  <c r="AH12" i="9"/>
  <c r="AM12" i="9" s="1"/>
  <c r="O12" i="12"/>
  <c r="B12" i="12" s="1"/>
  <c r="T10" i="9"/>
  <c r="V10" i="9"/>
  <c r="BA10" i="9" s="1"/>
  <c r="O10" i="9"/>
  <c r="D10" i="11" s="1"/>
  <c r="S10" i="9"/>
  <c r="K10" i="8" s="1"/>
  <c r="N10" i="8" s="1"/>
  <c r="O10" i="8" s="1"/>
  <c r="P10" i="8" s="1"/>
  <c r="M11" i="3"/>
  <c r="M11" i="9" s="1"/>
  <c r="C14" i="6"/>
  <c r="B14" i="6"/>
  <c r="R11" i="3"/>
  <c r="AS11" i="3" s="1"/>
  <c r="L11" i="3"/>
  <c r="N11" i="9" s="1"/>
  <c r="O12" i="3"/>
  <c r="H12" i="3"/>
  <c r="M12" i="3" s="1"/>
  <c r="M12" i="9" s="1"/>
  <c r="K16" i="6"/>
  <c r="G16" i="6"/>
  <c r="E16" i="6"/>
  <c r="I16" i="6"/>
  <c r="J16" i="6"/>
  <c r="L16" i="6"/>
  <c r="H16" i="6"/>
  <c r="M16" i="6"/>
  <c r="F16" i="6"/>
  <c r="N16" i="6"/>
  <c r="P10" i="9"/>
  <c r="D15" i="6"/>
  <c r="V9" i="8"/>
  <c r="X9" i="8" s="1"/>
  <c r="Y9" i="8" s="1"/>
  <c r="AD9" i="8" s="1"/>
  <c r="T9" i="3" s="1"/>
  <c r="W9" i="3" s="1"/>
  <c r="AL9" i="3" s="1"/>
  <c r="M16" i="8"/>
  <c r="AU16" i="3"/>
  <c r="BB7" i="3"/>
  <c r="BC7" i="3" s="1"/>
  <c r="X7" i="11" s="1"/>
  <c r="AH8" i="8"/>
  <c r="AA8" i="9" s="1"/>
  <c r="AD8" i="9" s="1"/>
  <c r="AX8" i="9" s="1"/>
  <c r="AI6" i="8"/>
  <c r="Q6" i="12" s="1"/>
  <c r="AG8" i="8"/>
  <c r="Y8" i="9" s="1"/>
  <c r="AB8" i="9" s="1"/>
  <c r="AQ8" i="9" s="1"/>
  <c r="AG9" i="8"/>
  <c r="Y9" i="9" s="1"/>
  <c r="AB9" i="9" s="1"/>
  <c r="AQ9" i="9" s="1"/>
  <c r="AI7" i="8"/>
  <c r="Q7" i="12" s="1"/>
  <c r="Q37" i="7"/>
  <c r="O37" i="7"/>
  <c r="P37" i="7"/>
  <c r="N37" i="7"/>
  <c r="Q38" i="7"/>
  <c r="N38" i="7"/>
  <c r="O38" i="7"/>
  <c r="P38" i="7"/>
  <c r="BI7" i="9"/>
  <c r="BJ7" i="9" s="1"/>
  <c r="BI6" i="9"/>
  <c r="BJ6" i="9" s="1"/>
  <c r="J13" i="3"/>
  <c r="I14" i="12"/>
  <c r="A20" i="12"/>
  <c r="H15" i="12"/>
  <c r="H17" i="5"/>
  <c r="I17" i="5"/>
  <c r="AI18" i="23" s="1"/>
  <c r="L13" i="9"/>
  <c r="K14" i="9"/>
  <c r="I14" i="3"/>
  <c r="F15" i="9"/>
  <c r="F15" i="3"/>
  <c r="A20" i="11"/>
  <c r="L19" i="5"/>
  <c r="N19" i="5"/>
  <c r="T19" i="5"/>
  <c r="P19" i="5"/>
  <c r="Q19" i="5"/>
  <c r="A20" i="5"/>
  <c r="N20" i="5" s="1"/>
  <c r="M19" i="5"/>
  <c r="O19" i="5"/>
  <c r="K19" i="5"/>
  <c r="R19" i="5"/>
  <c r="B16" i="5"/>
  <c r="AD17" i="23" s="1"/>
  <c r="F17" i="5"/>
  <c r="AF18" i="23" s="1"/>
  <c r="AO17" i="9" s="1"/>
  <c r="C17" i="5"/>
  <c r="E17" i="5"/>
  <c r="AE18" i="23" s="1"/>
  <c r="J18" i="5"/>
  <c r="G17" i="5"/>
  <c r="D17" i="5"/>
  <c r="Z16" i="3"/>
  <c r="A19" i="8"/>
  <c r="AK18" i="8" l="1"/>
  <c r="AS19" i="8"/>
  <c r="AR19" i="8"/>
  <c r="AQ19" i="8"/>
  <c r="AP19" i="8"/>
  <c r="AO19" i="8"/>
  <c r="AT19" i="8"/>
  <c r="AL19" i="8"/>
  <c r="AU19" i="8"/>
  <c r="AN19" i="8"/>
  <c r="AM19" i="8"/>
  <c r="AV19" i="8"/>
  <c r="AW19" i="8"/>
  <c r="AX19" i="8"/>
  <c r="AY19" i="8"/>
  <c r="AZ19" i="8"/>
  <c r="BA19" i="8"/>
  <c r="BB19" i="8"/>
  <c r="BC19" i="8"/>
  <c r="BD19" i="8"/>
  <c r="BE19" i="8"/>
  <c r="BF19" i="8"/>
  <c r="B17" i="8"/>
  <c r="AJ17" i="8" s="1"/>
  <c r="G17" i="8"/>
  <c r="C17" i="8"/>
  <c r="D17" i="8" s="1"/>
  <c r="AH18" i="23"/>
  <c r="U17" i="12" s="1"/>
  <c r="W10" i="8"/>
  <c r="AK14" i="3"/>
  <c r="AI15" i="3"/>
  <c r="AJ15" i="3"/>
  <c r="BT9" i="9"/>
  <c r="BU9" i="9" s="1"/>
  <c r="R9" i="11" s="1"/>
  <c r="BK9" i="9"/>
  <c r="BL9" i="9" s="1"/>
  <c r="AY7" i="3"/>
  <c r="V7" i="11" s="1"/>
  <c r="BH7" i="3"/>
  <c r="BI7" i="3" s="1"/>
  <c r="AA7" i="11" s="1"/>
  <c r="H7" i="11" s="1"/>
  <c r="BC5" i="3"/>
  <c r="X5" i="11" s="1"/>
  <c r="BH5" i="3"/>
  <c r="BI5" i="3" s="1"/>
  <c r="AA5" i="11" s="1"/>
  <c r="H5" i="11" s="1"/>
  <c r="BT8" i="9"/>
  <c r="BU8" i="9" s="1"/>
  <c r="R8" i="11" s="1"/>
  <c r="BK8" i="9"/>
  <c r="BL8" i="9" s="1"/>
  <c r="AY8" i="3"/>
  <c r="V8" i="11" s="1"/>
  <c r="AY6" i="3"/>
  <c r="V6" i="11" s="1"/>
  <c r="BH6" i="3"/>
  <c r="BI6" i="3" s="1"/>
  <c r="AA6" i="11" s="1"/>
  <c r="H6" i="11" s="1"/>
  <c r="AJ12" i="9"/>
  <c r="AK12" i="9"/>
  <c r="AL11" i="9"/>
  <c r="AN7" i="3"/>
  <c r="BX10" i="9"/>
  <c r="BY10" i="9" s="1"/>
  <c r="S10" i="11" s="1"/>
  <c r="P10" i="11" s="1"/>
  <c r="BC10" i="9"/>
  <c r="BQ10" i="9" s="1"/>
  <c r="BR10" i="9" s="1"/>
  <c r="AG18" i="23"/>
  <c r="W17" i="12" s="1"/>
  <c r="O11" i="9"/>
  <c r="D11" i="11" s="1"/>
  <c r="W11" i="9"/>
  <c r="BB11" i="9" s="1"/>
  <c r="X11" i="9"/>
  <c r="L11" i="8" s="1"/>
  <c r="H11" i="8"/>
  <c r="I11" i="8" s="1"/>
  <c r="J12" i="9"/>
  <c r="X12" i="9" s="1"/>
  <c r="L12" i="8" s="1"/>
  <c r="Q12" i="9"/>
  <c r="R15" i="9"/>
  <c r="E17" i="3"/>
  <c r="E17" i="9"/>
  <c r="F17" i="12"/>
  <c r="G17" i="12"/>
  <c r="G16" i="9"/>
  <c r="G16" i="3"/>
  <c r="N16" i="3" s="1"/>
  <c r="E16" i="12"/>
  <c r="AC28" i="23"/>
  <c r="U29" i="23"/>
  <c r="R16" i="6"/>
  <c r="AA17" i="17" s="1"/>
  <c r="B16" i="3" s="1"/>
  <c r="A24" i="6"/>
  <c r="AB25" i="22"/>
  <c r="T26" i="22"/>
  <c r="U27" i="22"/>
  <c r="P26" i="6" s="1"/>
  <c r="AC26" i="22"/>
  <c r="Z18" i="6"/>
  <c r="S17" i="6"/>
  <c r="R17" i="6" s="1"/>
  <c r="AA18" i="17" s="1"/>
  <c r="AB18" i="6"/>
  <c r="V18" i="6"/>
  <c r="T18" i="6"/>
  <c r="AC18" i="6"/>
  <c r="X19" i="6"/>
  <c r="P15" i="12"/>
  <c r="AC16" i="3"/>
  <c r="R8" i="8"/>
  <c r="AF8" i="8" s="1"/>
  <c r="Z8" i="9" s="1"/>
  <c r="AC8" i="9" s="1"/>
  <c r="AT8" i="9" s="1"/>
  <c r="AV8" i="9" s="1"/>
  <c r="AS8" i="9"/>
  <c r="Q9" i="8"/>
  <c r="Z8" i="8"/>
  <c r="AE8" i="8" s="1"/>
  <c r="V8" i="3" s="1"/>
  <c r="Y8" i="3" s="1"/>
  <c r="AR8" i="3" s="1"/>
  <c r="BF8" i="3" s="1"/>
  <c r="BG8" i="3" s="1"/>
  <c r="W8" i="11" s="1"/>
  <c r="AS9" i="9"/>
  <c r="AA8" i="8"/>
  <c r="AC8" i="8" s="1"/>
  <c r="U8" i="3" s="1"/>
  <c r="X8" i="3" s="1"/>
  <c r="AO8" i="3" s="1"/>
  <c r="P12" i="3"/>
  <c r="T11" i="8"/>
  <c r="S11" i="8" s="1"/>
  <c r="AZ10" i="3"/>
  <c r="BA10" i="3" s="1"/>
  <c r="Z10" i="11" s="1"/>
  <c r="K12" i="3"/>
  <c r="B13" i="9"/>
  <c r="H13" i="3"/>
  <c r="M13" i="3" s="1"/>
  <c r="M13" i="9" s="1"/>
  <c r="AA15" i="7"/>
  <c r="AR10" i="9"/>
  <c r="T11" i="9"/>
  <c r="AN8" i="3"/>
  <c r="V10" i="8"/>
  <c r="AC15" i="7"/>
  <c r="AD15" i="7"/>
  <c r="J10" i="8"/>
  <c r="Q10" i="8" s="1"/>
  <c r="O13" i="12"/>
  <c r="B13" i="12" s="1"/>
  <c r="AH13" i="9"/>
  <c r="AM13" i="9" s="1"/>
  <c r="AU10" i="9"/>
  <c r="BV10" i="9" s="1"/>
  <c r="BW10" i="9" s="1"/>
  <c r="O10" i="11" s="1"/>
  <c r="M13" i="12"/>
  <c r="AG13" i="9"/>
  <c r="BN10" i="9"/>
  <c r="U11" i="9"/>
  <c r="AZ11" i="9" s="1"/>
  <c r="BM11" i="9" s="1"/>
  <c r="V11" i="9"/>
  <c r="BA11" i="9" s="1"/>
  <c r="S11" i="9"/>
  <c r="K11" i="8" s="1"/>
  <c r="N11" i="8" s="1"/>
  <c r="O11" i="8" s="1"/>
  <c r="P11" i="8" s="1"/>
  <c r="D16" i="6"/>
  <c r="K17" i="6"/>
  <c r="H17" i="6"/>
  <c r="E17" i="6"/>
  <c r="N17" i="6"/>
  <c r="I17" i="6"/>
  <c r="J17" i="6"/>
  <c r="L17" i="6"/>
  <c r="M17" i="6"/>
  <c r="G17" i="6"/>
  <c r="F17" i="6"/>
  <c r="P11" i="9"/>
  <c r="C15" i="6"/>
  <c r="B15" i="6"/>
  <c r="R12" i="3"/>
  <c r="AS12" i="3" s="1"/>
  <c r="L12" i="3"/>
  <c r="N12" i="9" s="1"/>
  <c r="AA9" i="8"/>
  <c r="AC9" i="8" s="1"/>
  <c r="U9" i="3" s="1"/>
  <c r="X9" i="3" s="1"/>
  <c r="AO9" i="3" s="1"/>
  <c r="Z9" i="8"/>
  <c r="AE9" i="8" s="1"/>
  <c r="V9" i="3" s="1"/>
  <c r="Y9" i="3" s="1"/>
  <c r="AR9" i="3" s="1"/>
  <c r="BF9" i="3" s="1"/>
  <c r="BG9" i="3" s="1"/>
  <c r="W9" i="11" s="1"/>
  <c r="M17" i="8"/>
  <c r="AU17" i="3"/>
  <c r="AN9" i="3"/>
  <c r="AX9" i="3"/>
  <c r="AI9" i="8"/>
  <c r="Q9" i="12" s="1"/>
  <c r="BI9" i="9"/>
  <c r="BJ9" i="9" s="1"/>
  <c r="Q39" i="7"/>
  <c r="O39" i="7"/>
  <c r="P39" i="7"/>
  <c r="N39" i="7"/>
  <c r="AV9" i="9"/>
  <c r="J14" i="3"/>
  <c r="L14" i="9"/>
  <c r="A21" i="12"/>
  <c r="I15" i="12"/>
  <c r="H16" i="12"/>
  <c r="H18" i="5"/>
  <c r="I18" i="5"/>
  <c r="AI19" i="23" s="1"/>
  <c r="I15" i="3"/>
  <c r="K15" i="9"/>
  <c r="F16" i="9"/>
  <c r="F16" i="3"/>
  <c r="A21" i="11"/>
  <c r="K20" i="5"/>
  <c r="L20" i="5"/>
  <c r="T20" i="5"/>
  <c r="M20" i="5"/>
  <c r="A21" i="5"/>
  <c r="M21" i="5" s="1"/>
  <c r="R20" i="5"/>
  <c r="O20" i="5"/>
  <c r="D18" i="5"/>
  <c r="P20" i="5"/>
  <c r="Q20" i="5"/>
  <c r="S20" i="5"/>
  <c r="J19" i="5"/>
  <c r="G18" i="5"/>
  <c r="C18" i="5"/>
  <c r="B17" i="5"/>
  <c r="AD18" i="23" s="1"/>
  <c r="F18" i="5"/>
  <c r="AF19" i="23" s="1"/>
  <c r="AO18" i="9" s="1"/>
  <c r="E18" i="5"/>
  <c r="AE19" i="23" s="1"/>
  <c r="Z17" i="3"/>
  <c r="A20" i="8"/>
  <c r="AK19" i="8" l="1"/>
  <c r="AQ20" i="8"/>
  <c r="AP20" i="8"/>
  <c r="AO20" i="8"/>
  <c r="AN20" i="8"/>
  <c r="AU20" i="8"/>
  <c r="AM20" i="8"/>
  <c r="AR20" i="8"/>
  <c r="AS20" i="8"/>
  <c r="AL20" i="8"/>
  <c r="AT20" i="8"/>
  <c r="AV20" i="8"/>
  <c r="AW20" i="8"/>
  <c r="AX20" i="8"/>
  <c r="AY20" i="8"/>
  <c r="AZ20" i="8"/>
  <c r="BA20" i="8"/>
  <c r="BB20" i="8"/>
  <c r="BC20" i="8"/>
  <c r="BD20" i="8"/>
  <c r="BE20" i="8"/>
  <c r="BF20" i="8"/>
  <c r="B18" i="8"/>
  <c r="AJ18" i="8" s="1"/>
  <c r="C18" i="8"/>
  <c r="D18" i="8" s="1"/>
  <c r="G18" i="8"/>
  <c r="AD17" i="3"/>
  <c r="AH19" i="23"/>
  <c r="U18" i="12" s="1"/>
  <c r="X10" i="8"/>
  <c r="Y10" i="8" s="1"/>
  <c r="Z10" i="8" s="1"/>
  <c r="AE10" i="8" s="1"/>
  <c r="V10" i="3" s="1"/>
  <c r="Y10" i="3" s="1"/>
  <c r="AR10" i="3" s="1"/>
  <c r="BF10" i="3" s="1"/>
  <c r="BG10" i="3" s="1"/>
  <c r="W10" i="11" s="1"/>
  <c r="AK15" i="3"/>
  <c r="T12" i="8"/>
  <c r="S12" i="8" s="1"/>
  <c r="AM12" i="3"/>
  <c r="AZ12" i="3" s="1"/>
  <c r="BA12" i="3" s="1"/>
  <c r="Z12" i="11" s="1"/>
  <c r="AI16" i="3"/>
  <c r="AJ16" i="3"/>
  <c r="AY9" i="3"/>
  <c r="V9" i="11" s="1"/>
  <c r="BT10" i="9"/>
  <c r="BU10" i="9" s="1"/>
  <c r="R10" i="11" s="1"/>
  <c r="BK10" i="9"/>
  <c r="BL10" i="9" s="1"/>
  <c r="AJ13" i="9"/>
  <c r="AK13" i="9"/>
  <c r="AL12" i="9"/>
  <c r="AG19" i="23"/>
  <c r="W18" i="12" s="1"/>
  <c r="BN11" i="9"/>
  <c r="BX11" i="9"/>
  <c r="BY11" i="9" s="1"/>
  <c r="S11" i="11" s="1"/>
  <c r="P11" i="11" s="1"/>
  <c r="S12" i="9"/>
  <c r="AR12" i="9" s="1"/>
  <c r="U12" i="9"/>
  <c r="AZ12" i="9" s="1"/>
  <c r="BM12" i="9" s="1"/>
  <c r="V12" i="9"/>
  <c r="BA12" i="9" s="1"/>
  <c r="BC11" i="9"/>
  <c r="BQ11" i="9" s="1"/>
  <c r="BR11" i="9" s="1"/>
  <c r="W12" i="9"/>
  <c r="BB12" i="9" s="1"/>
  <c r="AZ11" i="3"/>
  <c r="BA11" i="3" s="1"/>
  <c r="Z11" i="11" s="1"/>
  <c r="T12" i="9"/>
  <c r="O12" i="9"/>
  <c r="D12" i="11" s="1"/>
  <c r="AJ13" i="23"/>
  <c r="AK13" i="23" s="1"/>
  <c r="H12" i="8"/>
  <c r="I12" i="8" s="1"/>
  <c r="J13" i="9"/>
  <c r="AJ14" i="23" s="1"/>
  <c r="AK14" i="23" s="1"/>
  <c r="Q13" i="9"/>
  <c r="R16" i="9"/>
  <c r="G17" i="9"/>
  <c r="E17" i="12"/>
  <c r="G17" i="3"/>
  <c r="N17" i="3" s="1"/>
  <c r="F18" i="12"/>
  <c r="E18" i="9"/>
  <c r="E18" i="3"/>
  <c r="G18" i="12"/>
  <c r="Q17" i="6"/>
  <c r="AD18" i="17" s="1"/>
  <c r="P17" i="12" s="1"/>
  <c r="K16" i="12"/>
  <c r="A25" i="6"/>
  <c r="AB26" i="22"/>
  <c r="T27" i="22"/>
  <c r="S18" i="6"/>
  <c r="R18" i="6" s="1"/>
  <c r="AA19" i="17" s="1"/>
  <c r="AC29" i="23"/>
  <c r="U30" i="23"/>
  <c r="U28" i="22"/>
  <c r="P27" i="6" s="1"/>
  <c r="AC27" i="22"/>
  <c r="Y19" i="6"/>
  <c r="W19" i="6"/>
  <c r="AB19" i="6"/>
  <c r="Z19" i="6"/>
  <c r="AA19" i="6"/>
  <c r="AC19" i="6"/>
  <c r="V19" i="6"/>
  <c r="U19" i="6"/>
  <c r="T19" i="6"/>
  <c r="W20" i="6"/>
  <c r="P16" i="12"/>
  <c r="B17" i="3"/>
  <c r="K17" i="12"/>
  <c r="BI8" i="9"/>
  <c r="BJ8" i="9" s="1"/>
  <c r="AI8" i="8"/>
  <c r="Q8" i="12" s="1"/>
  <c r="BB8" i="3"/>
  <c r="W11" i="8"/>
  <c r="O13" i="3"/>
  <c r="J14" i="12"/>
  <c r="AB20" i="6"/>
  <c r="Q13" i="3"/>
  <c r="B14" i="9"/>
  <c r="P13" i="3"/>
  <c r="AA16" i="7"/>
  <c r="B15" i="9" s="1"/>
  <c r="AU11" i="9"/>
  <c r="BV11" i="9" s="1"/>
  <c r="BW11" i="9" s="1"/>
  <c r="O11" i="11" s="1"/>
  <c r="AC16" i="7"/>
  <c r="AD16" i="7"/>
  <c r="AH14" i="9"/>
  <c r="AM14" i="9" s="1"/>
  <c r="O14" i="12"/>
  <c r="B14" i="12" s="1"/>
  <c r="M14" i="12"/>
  <c r="AG14" i="9"/>
  <c r="J11" i="8"/>
  <c r="R11" i="8" s="1"/>
  <c r="AF11" i="8" s="1"/>
  <c r="V11" i="8"/>
  <c r="AR11" i="9"/>
  <c r="K13" i="3"/>
  <c r="P12" i="9"/>
  <c r="H18" i="6"/>
  <c r="G18" i="6"/>
  <c r="M18" i="6"/>
  <c r="N18" i="6"/>
  <c r="K18" i="6"/>
  <c r="L18" i="6"/>
  <c r="I18" i="6"/>
  <c r="J18" i="6"/>
  <c r="F18" i="6"/>
  <c r="E18" i="6"/>
  <c r="R13" i="3"/>
  <c r="AS13" i="3" s="1"/>
  <c r="L13" i="3"/>
  <c r="N13" i="9" s="1"/>
  <c r="D17" i="6"/>
  <c r="H14" i="3"/>
  <c r="K14" i="3" s="1"/>
  <c r="O14" i="3"/>
  <c r="P14" i="3"/>
  <c r="AM14" i="3" s="1"/>
  <c r="Q14" i="3"/>
  <c r="C16" i="6"/>
  <c r="B16" i="6"/>
  <c r="BB9" i="3"/>
  <c r="BC9" i="3" s="1"/>
  <c r="X9" i="11" s="1"/>
  <c r="M18" i="8"/>
  <c r="AU18" i="3"/>
  <c r="AG10" i="8"/>
  <c r="Y10" i="9" s="1"/>
  <c r="AB10" i="9" s="1"/>
  <c r="AQ10" i="9" s="1"/>
  <c r="AS10" i="9" s="1"/>
  <c r="AH10" i="8"/>
  <c r="AA10" i="9" s="1"/>
  <c r="AD10" i="9" s="1"/>
  <c r="AX10" i="9" s="1"/>
  <c r="R10" i="8"/>
  <c r="AF10" i="8" s="1"/>
  <c r="Q40" i="7"/>
  <c r="P40" i="7"/>
  <c r="O40" i="7"/>
  <c r="N40" i="7"/>
  <c r="J15" i="3"/>
  <c r="A22" i="12"/>
  <c r="I16" i="12"/>
  <c r="H17" i="12"/>
  <c r="H19" i="5"/>
  <c r="I19" i="5"/>
  <c r="AI20" i="23" s="1"/>
  <c r="L15" i="9"/>
  <c r="I16" i="3"/>
  <c r="K16" i="9"/>
  <c r="F17" i="9"/>
  <c r="F17" i="3"/>
  <c r="A22" i="11"/>
  <c r="F19" i="5"/>
  <c r="AF20" i="23" s="1"/>
  <c r="A22" i="5"/>
  <c r="L22" i="5" s="1"/>
  <c r="K21" i="5"/>
  <c r="S21" i="5"/>
  <c r="L21" i="5"/>
  <c r="T21" i="5"/>
  <c r="Q21" i="5"/>
  <c r="O21" i="5"/>
  <c r="R21" i="5"/>
  <c r="P21" i="5"/>
  <c r="N21" i="5"/>
  <c r="E19" i="5"/>
  <c r="AE20" i="23" s="1"/>
  <c r="J20" i="5"/>
  <c r="B18" i="5"/>
  <c r="AD19" i="23" s="1"/>
  <c r="G19" i="5"/>
  <c r="D19" i="5"/>
  <c r="C19" i="5"/>
  <c r="Z18" i="3"/>
  <c r="A21" i="8"/>
  <c r="AK20" i="8" l="1"/>
  <c r="AO21" i="8"/>
  <c r="AN21" i="8"/>
  <c r="AU21" i="8"/>
  <c r="AM21" i="8"/>
  <c r="AT21" i="8"/>
  <c r="AL21" i="8"/>
  <c r="AS21" i="8"/>
  <c r="AP21" i="8"/>
  <c r="AR21" i="8"/>
  <c r="AQ21" i="8"/>
  <c r="AV21" i="8"/>
  <c r="AW21" i="8"/>
  <c r="AX21" i="8"/>
  <c r="AY21" i="8"/>
  <c r="AZ21" i="8"/>
  <c r="BA21" i="8"/>
  <c r="BB21" i="8"/>
  <c r="BC21" i="8"/>
  <c r="BD21" i="8"/>
  <c r="BE21" i="8"/>
  <c r="BF21" i="8"/>
  <c r="B19" i="8"/>
  <c r="AJ19" i="8" s="1"/>
  <c r="G19" i="8"/>
  <c r="C19" i="8"/>
  <c r="D19" i="8" s="1"/>
  <c r="AD18" i="3"/>
  <c r="AH20" i="23"/>
  <c r="U19" i="12" s="1"/>
  <c r="AD10" i="8"/>
  <c r="T10" i="3" s="1"/>
  <c r="W10" i="3" s="1"/>
  <c r="AL10" i="3" s="1"/>
  <c r="AN10" i="3" s="1"/>
  <c r="AA10" i="8"/>
  <c r="AC10" i="8" s="1"/>
  <c r="U10" i="3" s="1"/>
  <c r="X10" i="3" s="1"/>
  <c r="AO10" i="3" s="1"/>
  <c r="BB10" i="3" s="1"/>
  <c r="BC10" i="3" s="1"/>
  <c r="X10" i="11" s="1"/>
  <c r="W12" i="8"/>
  <c r="T13" i="8"/>
  <c r="S13" i="8" s="1"/>
  <c r="AM13" i="3"/>
  <c r="AK16" i="3"/>
  <c r="AJ17" i="3"/>
  <c r="BC8" i="3"/>
  <c r="X8" i="11" s="1"/>
  <c r="BH8" i="3"/>
  <c r="BI8" i="3" s="1"/>
  <c r="AA8" i="11" s="1"/>
  <c r="H8" i="11" s="1"/>
  <c r="BT12" i="9"/>
  <c r="BU12" i="9" s="1"/>
  <c r="R12" i="11" s="1"/>
  <c r="BH9" i="3"/>
  <c r="BI9" i="3" s="1"/>
  <c r="AA9" i="11" s="1"/>
  <c r="H9" i="11" s="1"/>
  <c r="BT11" i="9"/>
  <c r="BU11" i="9" s="1"/>
  <c r="R11" i="11" s="1"/>
  <c r="BK11" i="9"/>
  <c r="BL11" i="9" s="1"/>
  <c r="AJ14" i="9"/>
  <c r="AK14" i="9"/>
  <c r="AL13" i="9"/>
  <c r="AG20" i="23"/>
  <c r="W19" i="12" s="1"/>
  <c r="BC12" i="9"/>
  <c r="BQ12" i="9" s="1"/>
  <c r="BR12" i="9" s="1"/>
  <c r="K12" i="8"/>
  <c r="N12" i="8" s="1"/>
  <c r="O12" i="8" s="1"/>
  <c r="P12" i="8" s="1"/>
  <c r="AU12" i="9"/>
  <c r="BV12" i="9" s="1"/>
  <c r="BW12" i="9" s="1"/>
  <c r="O12" i="11" s="1"/>
  <c r="BN12" i="9"/>
  <c r="X13" i="9"/>
  <c r="L13" i="8" s="1"/>
  <c r="W13" i="9"/>
  <c r="BB13" i="9" s="1"/>
  <c r="H13" i="8"/>
  <c r="I13" i="8" s="1"/>
  <c r="T13" i="9"/>
  <c r="V13" i="9"/>
  <c r="BA13" i="9" s="1"/>
  <c r="S13" i="9"/>
  <c r="K13" i="8" s="1"/>
  <c r="N13" i="8" s="1"/>
  <c r="O13" i="8" s="1"/>
  <c r="P13" i="8" s="1"/>
  <c r="U13" i="9"/>
  <c r="AZ13" i="9" s="1"/>
  <c r="BM13" i="9" s="1"/>
  <c r="O13" i="9"/>
  <c r="D13" i="11" s="1"/>
  <c r="J14" i="9"/>
  <c r="AJ15" i="23" s="1"/>
  <c r="AK15" i="23" s="1"/>
  <c r="Q14" i="9"/>
  <c r="J15" i="9"/>
  <c r="AJ16" i="23" s="1"/>
  <c r="AK16" i="23" s="1"/>
  <c r="Q15" i="9"/>
  <c r="F19" i="12"/>
  <c r="E19" i="3"/>
  <c r="E19" i="9"/>
  <c r="G18" i="3"/>
  <c r="N18" i="3" s="1"/>
  <c r="G18" i="9"/>
  <c r="E18" i="12"/>
  <c r="R17" i="9"/>
  <c r="AO19" i="9"/>
  <c r="G19" i="12"/>
  <c r="Q18" i="6"/>
  <c r="AD19" i="17" s="1"/>
  <c r="AC18" i="3" s="1"/>
  <c r="AC30" i="23"/>
  <c r="U31" i="23"/>
  <c r="A26" i="6"/>
  <c r="AB27" i="22"/>
  <c r="T28" i="22"/>
  <c r="U29" i="22"/>
  <c r="P28" i="6" s="1"/>
  <c r="AC28" i="22"/>
  <c r="Y20" i="6"/>
  <c r="Z20" i="6"/>
  <c r="S19" i="6"/>
  <c r="R19" i="6" s="1"/>
  <c r="AA20" i="17" s="1"/>
  <c r="AC20" i="6"/>
  <c r="U20" i="6"/>
  <c r="V20" i="6"/>
  <c r="X20" i="6"/>
  <c r="T20" i="6"/>
  <c r="AA20" i="6"/>
  <c r="V21" i="6"/>
  <c r="AC17" i="3"/>
  <c r="AI17" i="3" s="1"/>
  <c r="K18" i="12"/>
  <c r="B18" i="3"/>
  <c r="BX12" i="9"/>
  <c r="BY12" i="9" s="1"/>
  <c r="S12" i="11" s="1"/>
  <c r="P12" i="11" s="1"/>
  <c r="X11" i="8"/>
  <c r="Y11" i="8" s="1"/>
  <c r="AD11" i="8" s="1"/>
  <c r="T11" i="3" s="1"/>
  <c r="W11" i="3" s="1"/>
  <c r="AL11" i="3" s="1"/>
  <c r="O15" i="3"/>
  <c r="J15" i="12"/>
  <c r="AA17" i="7"/>
  <c r="J16" i="12" s="1"/>
  <c r="AH15" i="9"/>
  <c r="AM15" i="9" s="1"/>
  <c r="O15" i="12"/>
  <c r="B15" i="12" s="1"/>
  <c r="AC17" i="7"/>
  <c r="AD17" i="7"/>
  <c r="AG15" i="9"/>
  <c r="M15" i="12"/>
  <c r="M14" i="3"/>
  <c r="M14" i="9" s="1"/>
  <c r="D18" i="6"/>
  <c r="T14" i="8"/>
  <c r="S14" i="8" s="1"/>
  <c r="G19" i="6"/>
  <c r="N19" i="6"/>
  <c r="M19" i="6"/>
  <c r="E19" i="6"/>
  <c r="I19" i="6"/>
  <c r="H19" i="6"/>
  <c r="L19" i="6"/>
  <c r="F19" i="6"/>
  <c r="J19" i="6"/>
  <c r="K19" i="6"/>
  <c r="L14" i="3"/>
  <c r="N14" i="9" s="1"/>
  <c r="R14" i="3"/>
  <c r="AS14" i="3" s="1"/>
  <c r="C17" i="6"/>
  <c r="B17" i="6"/>
  <c r="P13" i="9"/>
  <c r="AG11" i="8"/>
  <c r="Y11" i="9" s="1"/>
  <c r="AB11" i="9" s="1"/>
  <c r="AQ11" i="9" s="1"/>
  <c r="AS11" i="9" s="1"/>
  <c r="M19" i="8"/>
  <c r="AU19" i="3"/>
  <c r="AI10" i="8"/>
  <c r="Q10" i="12" s="1"/>
  <c r="AH11" i="8"/>
  <c r="AA11" i="9" s="1"/>
  <c r="AD11" i="9" s="1"/>
  <c r="AX11" i="9" s="1"/>
  <c r="Z10" i="9"/>
  <c r="AC10" i="9" s="1"/>
  <c r="AT10" i="9" s="1"/>
  <c r="AV10" i="9" s="1"/>
  <c r="Q11" i="8"/>
  <c r="Z11" i="9"/>
  <c r="AC11" i="9" s="1"/>
  <c r="AT11" i="9" s="1"/>
  <c r="AV11" i="9" s="1"/>
  <c r="J16" i="3"/>
  <c r="L16" i="9"/>
  <c r="I17" i="12"/>
  <c r="A23" i="12"/>
  <c r="H18" i="12"/>
  <c r="E20" i="5"/>
  <c r="AE21" i="23" s="1"/>
  <c r="I20" i="5"/>
  <c r="AI21" i="23" s="1"/>
  <c r="I17" i="3"/>
  <c r="K17" i="9"/>
  <c r="F18" i="9"/>
  <c r="F18" i="3"/>
  <c r="A23" i="11"/>
  <c r="S22" i="5"/>
  <c r="K22" i="5"/>
  <c r="R22" i="5"/>
  <c r="A23" i="5"/>
  <c r="M23" i="5" s="1"/>
  <c r="T22" i="5"/>
  <c r="P22" i="5"/>
  <c r="Q22" i="5"/>
  <c r="N22" i="5"/>
  <c r="M22" i="5"/>
  <c r="O22" i="5"/>
  <c r="B19" i="5"/>
  <c r="AD20" i="23" s="1"/>
  <c r="J21" i="5"/>
  <c r="F21" i="5" s="1"/>
  <c r="AF22" i="23" s="1"/>
  <c r="AO21" i="9" s="1"/>
  <c r="F20" i="5"/>
  <c r="AF21" i="23" s="1"/>
  <c r="AO20" i="9" s="1"/>
  <c r="C20" i="5"/>
  <c r="D20" i="5"/>
  <c r="H20" i="5"/>
  <c r="G20" i="5"/>
  <c r="Z19" i="3"/>
  <c r="A22" i="8"/>
  <c r="AU22" i="8" l="1"/>
  <c r="AM22" i="8"/>
  <c r="AT22" i="8"/>
  <c r="AL22" i="8"/>
  <c r="AS22" i="8"/>
  <c r="AR22" i="8"/>
  <c r="AQ22" i="8"/>
  <c r="AN22" i="8"/>
  <c r="AP22" i="8"/>
  <c r="AO22" i="8"/>
  <c r="AV22" i="8"/>
  <c r="AW22" i="8"/>
  <c r="AX22" i="8"/>
  <c r="AY22" i="8"/>
  <c r="AZ22" i="8"/>
  <c r="BA22" i="8"/>
  <c r="BB22" i="8"/>
  <c r="BC22" i="8"/>
  <c r="BD22" i="8"/>
  <c r="BE22" i="8"/>
  <c r="BF22" i="8"/>
  <c r="AK21" i="8"/>
  <c r="B20" i="8"/>
  <c r="AJ20" i="8" s="1"/>
  <c r="C20" i="8"/>
  <c r="D20" i="8" s="1"/>
  <c r="G20" i="8"/>
  <c r="AD19" i="3"/>
  <c r="AH21" i="23"/>
  <c r="U20" i="12" s="1"/>
  <c r="AX10" i="3"/>
  <c r="AY10" i="3" s="1"/>
  <c r="V10" i="11" s="1"/>
  <c r="W13" i="8"/>
  <c r="AK17" i="3"/>
  <c r="BK12" i="9"/>
  <c r="BL12" i="9" s="1"/>
  <c r="AI18" i="3"/>
  <c r="AJ18" i="3"/>
  <c r="AL14" i="9"/>
  <c r="AK15" i="9"/>
  <c r="AJ15" i="9"/>
  <c r="AG21" i="23"/>
  <c r="W20" i="12" s="1"/>
  <c r="V12" i="8"/>
  <c r="X12" i="8" s="1"/>
  <c r="Y12" i="8" s="1"/>
  <c r="AA12" i="8" s="1"/>
  <c r="AC12" i="8" s="1"/>
  <c r="U12" i="3" s="1"/>
  <c r="X12" i="3" s="1"/>
  <c r="AO12" i="3" s="1"/>
  <c r="J12" i="8"/>
  <c r="Q12" i="8" s="1"/>
  <c r="X14" i="9"/>
  <c r="L14" i="8" s="1"/>
  <c r="BX13" i="9"/>
  <c r="BY13" i="9" s="1"/>
  <c r="S13" i="11" s="1"/>
  <c r="P13" i="11" s="1"/>
  <c r="AU13" i="9"/>
  <c r="BV13" i="9" s="1"/>
  <c r="BW13" i="9" s="1"/>
  <c r="O13" i="11" s="1"/>
  <c r="W14" i="9"/>
  <c r="BB14" i="9" s="1"/>
  <c r="BC13" i="9"/>
  <c r="BQ13" i="9" s="1"/>
  <c r="BR13" i="9" s="1"/>
  <c r="U14" i="9"/>
  <c r="AZ14" i="9" s="1"/>
  <c r="BM14" i="9" s="1"/>
  <c r="H14" i="8"/>
  <c r="I14" i="8" s="1"/>
  <c r="J13" i="8"/>
  <c r="Q13" i="8" s="1"/>
  <c r="AR13" i="9"/>
  <c r="X15" i="9"/>
  <c r="L15" i="8" s="1"/>
  <c r="H15" i="8"/>
  <c r="I15" i="8" s="1"/>
  <c r="BN13" i="9"/>
  <c r="W15" i="9"/>
  <c r="BB15" i="9" s="1"/>
  <c r="E20" i="9"/>
  <c r="F20" i="12"/>
  <c r="E20" i="3"/>
  <c r="R18" i="9"/>
  <c r="E19" i="12"/>
  <c r="G19" i="3"/>
  <c r="N19" i="3" s="1"/>
  <c r="G19" i="9"/>
  <c r="G20" i="12"/>
  <c r="G21" i="12"/>
  <c r="A27" i="6"/>
  <c r="AB28" i="22"/>
  <c r="T29" i="22"/>
  <c r="AC31" i="23"/>
  <c r="U32" i="23"/>
  <c r="U30" i="22"/>
  <c r="P29" i="6" s="1"/>
  <c r="AC29" i="22"/>
  <c r="X21" i="6"/>
  <c r="AB21" i="6"/>
  <c r="Q19" i="6"/>
  <c r="AD20" i="17" s="1"/>
  <c r="AC19" i="3" s="1"/>
  <c r="S20" i="6"/>
  <c r="Q20" i="6" s="1"/>
  <c r="AD21" i="17" s="1"/>
  <c r="AA21" i="6"/>
  <c r="W21" i="6"/>
  <c r="AC21" i="6"/>
  <c r="Z21" i="6"/>
  <c r="X22" i="6"/>
  <c r="T21" i="6"/>
  <c r="U21" i="6"/>
  <c r="Y21" i="6"/>
  <c r="P18" i="12"/>
  <c r="B19" i="3"/>
  <c r="K19" i="12"/>
  <c r="Z11" i="8"/>
  <c r="AE11" i="8" s="1"/>
  <c r="V11" i="3" s="1"/>
  <c r="Y11" i="3" s="1"/>
  <c r="AR11" i="3" s="1"/>
  <c r="BF11" i="3" s="1"/>
  <c r="BG11" i="3" s="1"/>
  <c r="W11" i="11" s="1"/>
  <c r="AA11" i="8"/>
  <c r="AC11" i="8" s="1"/>
  <c r="U11" i="3" s="1"/>
  <c r="X11" i="3" s="1"/>
  <c r="AO11" i="3" s="1"/>
  <c r="BB11" i="3" s="1"/>
  <c r="BC11" i="3" s="1"/>
  <c r="X11" i="11" s="1"/>
  <c r="H16" i="3"/>
  <c r="K16" i="3" s="1"/>
  <c r="AZ13" i="3"/>
  <c r="BA13" i="3" s="1"/>
  <c r="Z13" i="11" s="1"/>
  <c r="B16" i="9"/>
  <c r="H15" i="3"/>
  <c r="M15" i="3" s="1"/>
  <c r="M15" i="9" s="1"/>
  <c r="V15" i="9" s="1"/>
  <c r="BA15" i="9" s="1"/>
  <c r="P15" i="3"/>
  <c r="Q15" i="3"/>
  <c r="O14" i="9"/>
  <c r="D14" i="11" s="1"/>
  <c r="AA18" i="7"/>
  <c r="J17" i="12" s="1"/>
  <c r="S14" i="9"/>
  <c r="K14" i="8" s="1"/>
  <c r="N14" i="8" s="1"/>
  <c r="O14" i="8" s="1"/>
  <c r="P14" i="8" s="1"/>
  <c r="AG14" i="8" s="1"/>
  <c r="Y14" i="9" s="1"/>
  <c r="AB14" i="9" s="1"/>
  <c r="T14" i="9"/>
  <c r="W14" i="8" s="1"/>
  <c r="V14" i="9"/>
  <c r="BA14" i="9" s="1"/>
  <c r="AC18" i="7"/>
  <c r="AD18" i="7"/>
  <c r="AG16" i="9"/>
  <c r="M16" i="12"/>
  <c r="O16" i="12"/>
  <c r="B16" i="12" s="1"/>
  <c r="AH16" i="9"/>
  <c r="AM16" i="9" s="1"/>
  <c r="P14" i="9"/>
  <c r="B18" i="6"/>
  <c r="C18" i="6"/>
  <c r="M20" i="6"/>
  <c r="I20" i="6"/>
  <c r="N20" i="6"/>
  <c r="F20" i="6"/>
  <c r="L20" i="6"/>
  <c r="G20" i="6"/>
  <c r="K20" i="6"/>
  <c r="E20" i="6"/>
  <c r="H20" i="6"/>
  <c r="J20" i="6"/>
  <c r="D19" i="6"/>
  <c r="V13" i="8"/>
  <c r="M20" i="8"/>
  <c r="AU20" i="3"/>
  <c r="AN11" i="3"/>
  <c r="AX11" i="3"/>
  <c r="AI11" i="8"/>
  <c r="Q11" i="12" s="1"/>
  <c r="BI10" i="9"/>
  <c r="BJ10" i="9" s="1"/>
  <c r="Q42" i="7"/>
  <c r="N42" i="7"/>
  <c r="O42" i="7"/>
  <c r="P42" i="7"/>
  <c r="Q41" i="7"/>
  <c r="P41" i="7"/>
  <c r="N41" i="7"/>
  <c r="O41" i="7"/>
  <c r="BI11" i="9"/>
  <c r="BJ11" i="9" s="1"/>
  <c r="J17" i="3"/>
  <c r="A24" i="12"/>
  <c r="I18" i="12"/>
  <c r="H19" i="12"/>
  <c r="H21" i="5"/>
  <c r="I21" i="5"/>
  <c r="AI22" i="23" s="1"/>
  <c r="L17" i="9"/>
  <c r="I18" i="3"/>
  <c r="R23" i="5"/>
  <c r="K18" i="9"/>
  <c r="F19" i="9"/>
  <c r="F19" i="3"/>
  <c r="A24" i="11"/>
  <c r="P23" i="5"/>
  <c r="S23" i="5"/>
  <c r="Q23" i="5"/>
  <c r="N23" i="5"/>
  <c r="A24" i="5"/>
  <c r="R24" i="5" s="1"/>
  <c r="O23" i="5"/>
  <c r="D21" i="5"/>
  <c r="T23" i="5"/>
  <c r="J22" i="5"/>
  <c r="K23" i="5"/>
  <c r="C21" i="5"/>
  <c r="L23" i="5"/>
  <c r="G21" i="5"/>
  <c r="E21" i="5"/>
  <c r="AE22" i="23" s="1"/>
  <c r="B20" i="5"/>
  <c r="AD21" i="23" s="1"/>
  <c r="Z20" i="3"/>
  <c r="A23" i="8"/>
  <c r="B21" i="8" l="1"/>
  <c r="AJ21" i="8" s="1"/>
  <c r="G21" i="8"/>
  <c r="C21" i="8"/>
  <c r="D21" i="8" s="1"/>
  <c r="AK22" i="8"/>
  <c r="AS23" i="8"/>
  <c r="AR23" i="8"/>
  <c r="AQ23" i="8"/>
  <c r="AP23" i="8"/>
  <c r="AO23" i="8"/>
  <c r="AT23" i="8"/>
  <c r="AL23" i="8"/>
  <c r="AU23" i="8"/>
  <c r="AN23" i="8"/>
  <c r="AM23" i="8"/>
  <c r="AV23" i="8"/>
  <c r="AW23" i="8"/>
  <c r="AX23" i="8"/>
  <c r="AY23" i="8"/>
  <c r="AZ23" i="8"/>
  <c r="BA23" i="8"/>
  <c r="BB23" i="8"/>
  <c r="BC23" i="8"/>
  <c r="BD23" i="8"/>
  <c r="BE23" i="8"/>
  <c r="BF23" i="8"/>
  <c r="AD20" i="3"/>
  <c r="AH22" i="23"/>
  <c r="U21" i="12" s="1"/>
  <c r="BH10" i="3"/>
  <c r="BI10" i="3" s="1"/>
  <c r="AA10" i="11" s="1"/>
  <c r="H10" i="11" s="1"/>
  <c r="X13" i="8"/>
  <c r="Y13" i="8" s="1"/>
  <c r="AD13" i="8" s="1"/>
  <c r="T13" i="3" s="1"/>
  <c r="W13" i="3" s="1"/>
  <c r="AL13" i="3" s="1"/>
  <c r="T15" i="8"/>
  <c r="S15" i="8" s="1"/>
  <c r="AM15" i="3"/>
  <c r="AZ15" i="3" s="1"/>
  <c r="BA15" i="3" s="1"/>
  <c r="Z15" i="11" s="1"/>
  <c r="AK18" i="3"/>
  <c r="AI19" i="3"/>
  <c r="AJ19" i="3"/>
  <c r="AY11" i="3"/>
  <c r="V11" i="11" s="1"/>
  <c r="BH11" i="3"/>
  <c r="BI11" i="3" s="1"/>
  <c r="AA11" i="11" s="1"/>
  <c r="H11" i="11" s="1"/>
  <c r="BT13" i="9"/>
  <c r="BU13" i="9" s="1"/>
  <c r="R13" i="11" s="1"/>
  <c r="BK13" i="9"/>
  <c r="BL13" i="9" s="1"/>
  <c r="AJ16" i="9"/>
  <c r="AK16" i="9"/>
  <c r="AL15" i="9"/>
  <c r="AG22" i="23"/>
  <c r="W21" i="12" s="1"/>
  <c r="Z12" i="8"/>
  <c r="AE12" i="8" s="1"/>
  <c r="V12" i="3" s="1"/>
  <c r="Y12" i="3" s="1"/>
  <c r="AR12" i="3" s="1"/>
  <c r="BF12" i="3" s="1"/>
  <c r="BG12" i="3" s="1"/>
  <c r="W12" i="11" s="1"/>
  <c r="AD12" i="8"/>
  <c r="T12" i="3" s="1"/>
  <c r="W12" i="3" s="1"/>
  <c r="AL12" i="3" s="1"/>
  <c r="AN12" i="3" s="1"/>
  <c r="BX14" i="9"/>
  <c r="BY14" i="9" s="1"/>
  <c r="S14" i="11" s="1"/>
  <c r="P14" i="11" s="1"/>
  <c r="AZ14" i="3"/>
  <c r="BA14" i="3" s="1"/>
  <c r="Z14" i="11" s="1"/>
  <c r="BC14" i="9"/>
  <c r="BQ14" i="9" s="1"/>
  <c r="BR14" i="9" s="1"/>
  <c r="BC15" i="9"/>
  <c r="BQ15" i="9" s="1"/>
  <c r="J16" i="9"/>
  <c r="H16" i="8" s="1"/>
  <c r="I16" i="8" s="1"/>
  <c r="Q16" i="9"/>
  <c r="G20" i="9"/>
  <c r="E20" i="12"/>
  <c r="G20" i="3"/>
  <c r="N20" i="3" s="1"/>
  <c r="AD21" i="3"/>
  <c r="R19" i="9"/>
  <c r="F21" i="12"/>
  <c r="E21" i="3"/>
  <c r="E21" i="9"/>
  <c r="AC32" i="23"/>
  <c r="U33" i="23"/>
  <c r="A28" i="6"/>
  <c r="AB29" i="22"/>
  <c r="T30" i="22"/>
  <c r="U31" i="22"/>
  <c r="P30" i="6" s="1"/>
  <c r="AC30" i="22"/>
  <c r="R20" i="6"/>
  <c r="AA21" i="17" s="1"/>
  <c r="B20" i="3" s="1"/>
  <c r="S21" i="6"/>
  <c r="R21" i="6" s="1"/>
  <c r="AA22" i="17" s="1"/>
  <c r="U22" i="6"/>
  <c r="AB22" i="6"/>
  <c r="T22" i="6"/>
  <c r="AB23" i="6"/>
  <c r="V22" i="6"/>
  <c r="Y22" i="6"/>
  <c r="Z22" i="6"/>
  <c r="W22" i="6"/>
  <c r="AC22" i="6"/>
  <c r="AA22" i="6"/>
  <c r="AC20" i="3"/>
  <c r="P19" i="12"/>
  <c r="K15" i="3"/>
  <c r="U15" i="9"/>
  <c r="AZ15" i="9" s="1"/>
  <c r="BM15" i="9" s="1"/>
  <c r="O16" i="3"/>
  <c r="S15" i="9"/>
  <c r="K15" i="8" s="1"/>
  <c r="N15" i="8" s="1"/>
  <c r="O15" i="8" s="1"/>
  <c r="P15" i="8" s="1"/>
  <c r="T15" i="9"/>
  <c r="R15" i="3"/>
  <c r="AS15" i="3" s="1"/>
  <c r="O15" i="9"/>
  <c r="D15" i="11" s="1"/>
  <c r="Q16" i="3"/>
  <c r="P16" i="3"/>
  <c r="AM16" i="3" s="1"/>
  <c r="L15" i="3"/>
  <c r="N15" i="9" s="1"/>
  <c r="BN14" i="9"/>
  <c r="Z23" i="6"/>
  <c r="U23" i="6"/>
  <c r="H17" i="3"/>
  <c r="M17" i="3" s="1"/>
  <c r="M17" i="9" s="1"/>
  <c r="B17" i="9"/>
  <c r="AA19" i="7"/>
  <c r="B18" i="9" s="1"/>
  <c r="J14" i="8"/>
  <c r="Q14" i="8" s="1"/>
  <c r="AR14" i="9"/>
  <c r="AU14" i="9"/>
  <c r="BV14" i="9" s="1"/>
  <c r="BW14" i="9" s="1"/>
  <c r="O14" i="11" s="1"/>
  <c r="O17" i="12"/>
  <c r="B17" i="12" s="1"/>
  <c r="AH17" i="9"/>
  <c r="AM17" i="9" s="1"/>
  <c r="M17" i="12"/>
  <c r="AG17" i="9"/>
  <c r="AD19" i="7"/>
  <c r="AC19" i="7"/>
  <c r="M16" i="3"/>
  <c r="M16" i="9" s="1"/>
  <c r="C19" i="6"/>
  <c r="B19" i="6"/>
  <c r="R16" i="3"/>
  <c r="AS16" i="3" s="1"/>
  <c r="L16" i="3"/>
  <c r="N16" i="9" s="1"/>
  <c r="I21" i="6"/>
  <c r="L21" i="6"/>
  <c r="H21" i="6"/>
  <c r="N21" i="6"/>
  <c r="E21" i="6"/>
  <c r="M21" i="6"/>
  <c r="G21" i="6"/>
  <c r="K21" i="6"/>
  <c r="J21" i="6"/>
  <c r="F21" i="6"/>
  <c r="D20" i="6"/>
  <c r="V14" i="8"/>
  <c r="X14" i="8" s="1"/>
  <c r="Y14" i="8" s="1"/>
  <c r="AD14" i="8" s="1"/>
  <c r="T14" i="3" s="1"/>
  <c r="W14" i="3" s="1"/>
  <c r="AL14" i="3" s="1"/>
  <c r="M21" i="8"/>
  <c r="AU21" i="3"/>
  <c r="BB12" i="3"/>
  <c r="BC12" i="3" s="1"/>
  <c r="X12" i="11" s="1"/>
  <c r="AH12" i="8"/>
  <c r="AA12" i="9" s="1"/>
  <c r="AD12" i="9" s="1"/>
  <c r="AX12" i="9" s="1"/>
  <c r="AG12" i="8"/>
  <c r="Y12" i="9" s="1"/>
  <c r="AB12" i="9" s="1"/>
  <c r="AQ12" i="9" s="1"/>
  <c r="AS12" i="9" s="1"/>
  <c r="AG13" i="8"/>
  <c r="Y13" i="9" s="1"/>
  <c r="AB13" i="9" s="1"/>
  <c r="AQ13" i="9" s="1"/>
  <c r="AS13" i="9" s="1"/>
  <c r="AH14" i="8"/>
  <c r="AA14" i="9" s="1"/>
  <c r="AD14" i="9" s="1"/>
  <c r="AX14" i="9" s="1"/>
  <c r="AH13" i="8"/>
  <c r="AA13" i="9" s="1"/>
  <c r="AD13" i="9" s="1"/>
  <c r="AX13" i="9" s="1"/>
  <c r="R12" i="8"/>
  <c r="AF12" i="8" s="1"/>
  <c r="Z12" i="9" s="1"/>
  <c r="AC12" i="9" s="1"/>
  <c r="R13" i="8"/>
  <c r="AF13" i="8" s="1"/>
  <c r="AQ14" i="9"/>
  <c r="Q43" i="7"/>
  <c r="P43" i="7"/>
  <c r="N43" i="7"/>
  <c r="O43" i="7"/>
  <c r="J18" i="3"/>
  <c r="A25" i="12"/>
  <c r="I19" i="12"/>
  <c r="H20" i="12"/>
  <c r="H22" i="5"/>
  <c r="I22" i="5"/>
  <c r="AI23" i="23" s="1"/>
  <c r="L18" i="9"/>
  <c r="K19" i="9"/>
  <c r="I19" i="3"/>
  <c r="F20" i="9"/>
  <c r="F20" i="3"/>
  <c r="A25" i="11"/>
  <c r="A25" i="5"/>
  <c r="N25" i="5" s="1"/>
  <c r="M24" i="5"/>
  <c r="N24" i="5"/>
  <c r="P24" i="5"/>
  <c r="K24" i="5"/>
  <c r="S24" i="5"/>
  <c r="L24" i="5"/>
  <c r="T24" i="5"/>
  <c r="Q24" i="5"/>
  <c r="B21" i="5"/>
  <c r="AD22" i="23" s="1"/>
  <c r="E22" i="5"/>
  <c r="AE23" i="23" s="1"/>
  <c r="O24" i="5"/>
  <c r="D22" i="5"/>
  <c r="F22" i="5"/>
  <c r="AF23" i="23" s="1"/>
  <c r="AO22" i="9" s="1"/>
  <c r="J23" i="5"/>
  <c r="G22" i="5"/>
  <c r="C22" i="5"/>
  <c r="Z21" i="3"/>
  <c r="A24" i="8"/>
  <c r="AQ24" i="8" l="1"/>
  <c r="AP24" i="8"/>
  <c r="AO24" i="8"/>
  <c r="AN24" i="8"/>
  <c r="AU24" i="8"/>
  <c r="AM24" i="8"/>
  <c r="AR24" i="8"/>
  <c r="AL24" i="8"/>
  <c r="AT24" i="8"/>
  <c r="AS24" i="8"/>
  <c r="AV24" i="8"/>
  <c r="AW24" i="8"/>
  <c r="AX24" i="8"/>
  <c r="AY24" i="8"/>
  <c r="AZ24" i="8"/>
  <c r="BA24" i="8"/>
  <c r="BB24" i="8"/>
  <c r="BC24" i="8"/>
  <c r="BD24" i="8"/>
  <c r="BE24" i="8"/>
  <c r="BF24" i="8"/>
  <c r="B22" i="8"/>
  <c r="AJ22" i="8" s="1"/>
  <c r="C22" i="8"/>
  <c r="D22" i="8" s="1"/>
  <c r="G22" i="8"/>
  <c r="AK23" i="8"/>
  <c r="AH23" i="23"/>
  <c r="U22" i="12" s="1"/>
  <c r="AA13" i="8"/>
  <c r="AC13" i="8" s="1"/>
  <c r="U13" i="3" s="1"/>
  <c r="X13" i="3" s="1"/>
  <c r="AO13" i="3" s="1"/>
  <c r="BB13" i="3" s="1"/>
  <c r="BC13" i="3" s="1"/>
  <c r="X13" i="11" s="1"/>
  <c r="Z13" i="8"/>
  <c r="AE13" i="8" s="1"/>
  <c r="V13" i="3" s="1"/>
  <c r="Y13" i="3" s="1"/>
  <c r="AR13" i="3" s="1"/>
  <c r="BF13" i="3" s="1"/>
  <c r="BG13" i="3" s="1"/>
  <c r="W13" i="11" s="1"/>
  <c r="AK19" i="3"/>
  <c r="AI20" i="3"/>
  <c r="AJ20" i="3"/>
  <c r="BT14" i="9"/>
  <c r="BU14" i="9" s="1"/>
  <c r="R14" i="11" s="1"/>
  <c r="BK14" i="9"/>
  <c r="BL14" i="9" s="1"/>
  <c r="AL16" i="9"/>
  <c r="AJ17" i="9"/>
  <c r="AK17" i="9"/>
  <c r="W16" i="9"/>
  <c r="BB16" i="9" s="1"/>
  <c r="AG23" i="23"/>
  <c r="W22" i="12" s="1"/>
  <c r="AX12" i="3"/>
  <c r="X16" i="9"/>
  <c r="L16" i="8" s="1"/>
  <c r="AJ17" i="23"/>
  <c r="AK17" i="23" s="1"/>
  <c r="J17" i="9"/>
  <c r="AJ18" i="23" s="1"/>
  <c r="AK18" i="23" s="1"/>
  <c r="Q17" i="9"/>
  <c r="J18" i="9"/>
  <c r="H18" i="8" s="1"/>
  <c r="I18" i="8" s="1"/>
  <c r="Q18" i="9"/>
  <c r="E22" i="3"/>
  <c r="E22" i="9"/>
  <c r="F22" i="12"/>
  <c r="G21" i="9"/>
  <c r="E21" i="12"/>
  <c r="G21" i="3"/>
  <c r="N21" i="3" s="1"/>
  <c r="G22" i="12"/>
  <c r="R20" i="9"/>
  <c r="A29" i="6"/>
  <c r="AB30" i="22"/>
  <c r="T31" i="22"/>
  <c r="Q21" i="6"/>
  <c r="AD22" i="17" s="1"/>
  <c r="P21" i="12" s="1"/>
  <c r="AC33" i="23"/>
  <c r="U34" i="23"/>
  <c r="K20" i="12"/>
  <c r="U32" i="22"/>
  <c r="P31" i="6" s="1"/>
  <c r="AC31" i="22"/>
  <c r="V23" i="6"/>
  <c r="T23" i="6"/>
  <c r="W23" i="6"/>
  <c r="X23" i="6"/>
  <c r="Y23" i="6"/>
  <c r="S22" i="6"/>
  <c r="Q22" i="6" s="1"/>
  <c r="AD23" i="17" s="1"/>
  <c r="AA23" i="6"/>
  <c r="AC23" i="6"/>
  <c r="AA24" i="6"/>
  <c r="T16" i="8"/>
  <c r="S16" i="8" s="1"/>
  <c r="BN15" i="9"/>
  <c r="P20" i="12"/>
  <c r="K21" i="12"/>
  <c r="B21" i="3"/>
  <c r="BR15" i="9"/>
  <c r="J15" i="8"/>
  <c r="Q15" i="8" s="1"/>
  <c r="V15" i="8"/>
  <c r="BX15" i="9"/>
  <c r="BY15" i="9" s="1"/>
  <c r="S15" i="11" s="1"/>
  <c r="P15" i="11" s="1"/>
  <c r="AU15" i="9"/>
  <c r="BV15" i="9" s="1"/>
  <c r="BW15" i="9" s="1"/>
  <c r="O15" i="11" s="1"/>
  <c r="W15" i="8"/>
  <c r="P15" i="9"/>
  <c r="AR15" i="9"/>
  <c r="Q17" i="3"/>
  <c r="O17" i="3"/>
  <c r="P17" i="3"/>
  <c r="AS14" i="9"/>
  <c r="J18" i="12"/>
  <c r="P18" i="3"/>
  <c r="AM18" i="3" s="1"/>
  <c r="AA20" i="7"/>
  <c r="J19" i="12" s="1"/>
  <c r="R14" i="8"/>
  <c r="AF14" i="8" s="1"/>
  <c r="Z14" i="9" s="1"/>
  <c r="AC14" i="9" s="1"/>
  <c r="AT14" i="9" s="1"/>
  <c r="BI14" i="9" s="1"/>
  <c r="BJ14" i="9" s="1"/>
  <c r="T16" i="9"/>
  <c r="U16" i="9"/>
  <c r="AZ16" i="9" s="1"/>
  <c r="BM16" i="9" s="1"/>
  <c r="S16" i="9"/>
  <c r="K16" i="8" s="1"/>
  <c r="N16" i="8" s="1"/>
  <c r="O16" i="8" s="1"/>
  <c r="P16" i="8" s="1"/>
  <c r="O16" i="9"/>
  <c r="D16" i="11" s="1"/>
  <c r="AD20" i="7"/>
  <c r="AC20" i="7"/>
  <c r="M18" i="12"/>
  <c r="AG18" i="9"/>
  <c r="O18" i="12"/>
  <c r="B18" i="12" s="1"/>
  <c r="AH18" i="9"/>
  <c r="AM18" i="9" s="1"/>
  <c r="V16" i="9"/>
  <c r="BA16" i="9" s="1"/>
  <c r="L22" i="6"/>
  <c r="G22" i="6"/>
  <c r="J22" i="6"/>
  <c r="F22" i="6"/>
  <c r="K22" i="6"/>
  <c r="H22" i="6"/>
  <c r="M22" i="6"/>
  <c r="I22" i="6"/>
  <c r="N22" i="6"/>
  <c r="E22" i="6"/>
  <c r="D21" i="6"/>
  <c r="P16" i="9"/>
  <c r="R17" i="3"/>
  <c r="AS17" i="3" s="1"/>
  <c r="L17" i="3"/>
  <c r="N17" i="9" s="1"/>
  <c r="K17" i="3"/>
  <c r="B20" i="6"/>
  <c r="C20" i="6"/>
  <c r="Z14" i="8"/>
  <c r="AE14" i="8" s="1"/>
  <c r="V14" i="3" s="1"/>
  <c r="Y14" i="3" s="1"/>
  <c r="AR14" i="3" s="1"/>
  <c r="BF14" i="3" s="1"/>
  <c r="BG14" i="3" s="1"/>
  <c r="W14" i="11" s="1"/>
  <c r="AA14" i="8"/>
  <c r="AC14" i="8" s="1"/>
  <c r="U14" i="3" s="1"/>
  <c r="X14" i="3" s="1"/>
  <c r="AO14" i="3" s="1"/>
  <c r="M22" i="8"/>
  <c r="AU22" i="3"/>
  <c r="AN13" i="3"/>
  <c r="AX13" i="3"/>
  <c r="AN14" i="3"/>
  <c r="AX14" i="3"/>
  <c r="AI13" i="8"/>
  <c r="Q13" i="12" s="1"/>
  <c r="AI12" i="8"/>
  <c r="Q12" i="12" s="1"/>
  <c r="AT12" i="9"/>
  <c r="AV12" i="9" s="1"/>
  <c r="Z13" i="9"/>
  <c r="AC13" i="9" s="1"/>
  <c r="Q44" i="7"/>
  <c r="O44" i="7"/>
  <c r="N44" i="7"/>
  <c r="P44" i="7"/>
  <c r="J19" i="3"/>
  <c r="L19" i="9"/>
  <c r="I20" i="12"/>
  <c r="A26" i="12"/>
  <c r="H21" i="12"/>
  <c r="H23" i="5"/>
  <c r="I23" i="5"/>
  <c r="AI24" i="23" s="1"/>
  <c r="P25" i="5"/>
  <c r="L25" i="5"/>
  <c r="T25" i="5"/>
  <c r="R25" i="5"/>
  <c r="S25" i="5"/>
  <c r="I20" i="3"/>
  <c r="F21" i="9"/>
  <c r="F21" i="3"/>
  <c r="K20" i="9"/>
  <c r="A26" i="11"/>
  <c r="M25" i="5"/>
  <c r="K25" i="5"/>
  <c r="A26" i="5"/>
  <c r="N26" i="5" s="1"/>
  <c r="Q25" i="5"/>
  <c r="O25" i="5"/>
  <c r="J24" i="5"/>
  <c r="D23" i="5"/>
  <c r="C23" i="5"/>
  <c r="B22" i="5"/>
  <c r="AD23" i="23" s="1"/>
  <c r="G23" i="5"/>
  <c r="E23" i="5"/>
  <c r="AE24" i="23" s="1"/>
  <c r="F23" i="5"/>
  <c r="AF24" i="23" s="1"/>
  <c r="Z22" i="3"/>
  <c r="A25" i="8"/>
  <c r="AO25" i="8" l="1"/>
  <c r="AN25" i="8"/>
  <c r="AU25" i="8"/>
  <c r="AM25" i="8"/>
  <c r="AT25" i="8"/>
  <c r="AL25" i="8"/>
  <c r="AS25" i="8"/>
  <c r="AP25" i="8"/>
  <c r="AR25" i="8"/>
  <c r="AQ25" i="8"/>
  <c r="AV25" i="8"/>
  <c r="AW25" i="8"/>
  <c r="AX25" i="8"/>
  <c r="AY25" i="8"/>
  <c r="AZ25" i="8"/>
  <c r="BA25" i="8"/>
  <c r="BB25" i="8"/>
  <c r="BC25" i="8"/>
  <c r="BD25" i="8"/>
  <c r="BE25" i="8"/>
  <c r="BF25" i="8"/>
  <c r="AK24" i="8"/>
  <c r="B23" i="8"/>
  <c r="AJ23" i="8" s="1"/>
  <c r="G23" i="8"/>
  <c r="C23" i="8"/>
  <c r="D23" i="8" s="1"/>
  <c r="AD22" i="3"/>
  <c r="AH24" i="23"/>
  <c r="U23" i="12" s="1"/>
  <c r="T17" i="8"/>
  <c r="S17" i="8" s="1"/>
  <c r="AM17" i="3"/>
  <c r="AK20" i="3"/>
  <c r="AJ21" i="3"/>
  <c r="AY13" i="3"/>
  <c r="V13" i="11" s="1"/>
  <c r="BH13" i="3"/>
  <c r="BI13" i="3" s="1"/>
  <c r="AA13" i="11" s="1"/>
  <c r="AY14" i="3"/>
  <c r="V14" i="11" s="1"/>
  <c r="BT15" i="9"/>
  <c r="BU15" i="9" s="1"/>
  <c r="R15" i="11" s="1"/>
  <c r="BK15" i="9"/>
  <c r="BL15" i="9" s="1"/>
  <c r="AY12" i="3"/>
  <c r="V12" i="11" s="1"/>
  <c r="BH12" i="3"/>
  <c r="BI12" i="3" s="1"/>
  <c r="AA12" i="11" s="1"/>
  <c r="AL17" i="9"/>
  <c r="AK18" i="9"/>
  <c r="AJ18" i="9"/>
  <c r="BC16" i="9"/>
  <c r="BQ16" i="9" s="1"/>
  <c r="BR16" i="9" s="1"/>
  <c r="BX16" i="9"/>
  <c r="BY16" i="9" s="1"/>
  <c r="S16" i="11" s="1"/>
  <c r="P16" i="11" s="1"/>
  <c r="AG24" i="23"/>
  <c r="W23" i="12" s="1"/>
  <c r="U17" i="9"/>
  <c r="AZ17" i="9" s="1"/>
  <c r="BM17" i="9" s="1"/>
  <c r="AZ16" i="3"/>
  <c r="BA16" i="3" s="1"/>
  <c r="Z16" i="11" s="1"/>
  <c r="X17" i="9"/>
  <c r="L17" i="8" s="1"/>
  <c r="V17" i="9"/>
  <c r="BA17" i="9" s="1"/>
  <c r="W17" i="9"/>
  <c r="BB17" i="9" s="1"/>
  <c r="S17" i="9"/>
  <c r="K17" i="8" s="1"/>
  <c r="N17" i="8" s="1"/>
  <c r="O17" i="8" s="1"/>
  <c r="P17" i="8" s="1"/>
  <c r="O17" i="9"/>
  <c r="D17" i="11" s="1"/>
  <c r="T17" i="9"/>
  <c r="H17" i="8"/>
  <c r="I17" i="8" s="1"/>
  <c r="W18" i="9"/>
  <c r="BB18" i="9" s="1"/>
  <c r="AJ19" i="23"/>
  <c r="AK19" i="23" s="1"/>
  <c r="X18" i="9"/>
  <c r="L18" i="8" s="1"/>
  <c r="E22" i="12"/>
  <c r="G22" i="9"/>
  <c r="G22" i="3"/>
  <c r="N22" i="3" s="1"/>
  <c r="F23" i="12"/>
  <c r="E23" i="3"/>
  <c r="E23" i="9"/>
  <c r="R21" i="9"/>
  <c r="AO23" i="9"/>
  <c r="G23" i="12"/>
  <c r="AC34" i="23"/>
  <c r="U35" i="23"/>
  <c r="A30" i="6"/>
  <c r="AB31" i="22"/>
  <c r="T32" i="22"/>
  <c r="U33" i="22"/>
  <c r="P32" i="6" s="1"/>
  <c r="AC32" i="22"/>
  <c r="T24" i="6"/>
  <c r="Z24" i="6"/>
  <c r="R22" i="6"/>
  <c r="AA23" i="17" s="1"/>
  <c r="B22" i="3" s="1"/>
  <c r="S23" i="6"/>
  <c r="R23" i="6" s="1"/>
  <c r="AA24" i="17" s="1"/>
  <c r="W24" i="6"/>
  <c r="Y24" i="6"/>
  <c r="V24" i="6"/>
  <c r="X24" i="6"/>
  <c r="AB24" i="6"/>
  <c r="AC24" i="6"/>
  <c r="U24" i="6"/>
  <c r="X25" i="6"/>
  <c r="W16" i="8"/>
  <c r="AC21" i="3"/>
  <c r="AI21" i="3" s="1"/>
  <c r="AC22" i="3"/>
  <c r="X15" i="8"/>
  <c r="Y15" i="8" s="1"/>
  <c r="AA15" i="8" s="1"/>
  <c r="AC15" i="8" s="1"/>
  <c r="U15" i="3" s="1"/>
  <c r="X15" i="3" s="1"/>
  <c r="AO15" i="3" s="1"/>
  <c r="Q18" i="3"/>
  <c r="O18" i="3"/>
  <c r="AU16" i="9"/>
  <c r="BV16" i="9" s="1"/>
  <c r="BW16" i="9" s="1"/>
  <c r="O16" i="11" s="1"/>
  <c r="U25" i="6"/>
  <c r="H18" i="3"/>
  <c r="K18" i="3" s="1"/>
  <c r="AI14" i="8"/>
  <c r="Q14" i="12" s="1"/>
  <c r="B19" i="9"/>
  <c r="H19" i="3"/>
  <c r="M19" i="3" s="1"/>
  <c r="M19" i="9" s="1"/>
  <c r="AA21" i="7"/>
  <c r="B20" i="9" s="1"/>
  <c r="J16" i="8"/>
  <c r="R16" i="8" s="1"/>
  <c r="AF16" i="8" s="1"/>
  <c r="BN16" i="9"/>
  <c r="AR16" i="9"/>
  <c r="AD21" i="7"/>
  <c r="AC21" i="7"/>
  <c r="AG19" i="9"/>
  <c r="M19" i="12"/>
  <c r="AH19" i="9"/>
  <c r="AM19" i="9" s="1"/>
  <c r="O19" i="12"/>
  <c r="B19" i="12" s="1"/>
  <c r="L23" i="6"/>
  <c r="N23" i="6"/>
  <c r="F23" i="6"/>
  <c r="H23" i="6"/>
  <c r="J23" i="6"/>
  <c r="M23" i="6"/>
  <c r="K23" i="6"/>
  <c r="I23" i="6"/>
  <c r="E23" i="6"/>
  <c r="G23" i="6"/>
  <c r="D22" i="6"/>
  <c r="P17" i="9"/>
  <c r="B21" i="6"/>
  <c r="C21" i="6"/>
  <c r="T18" i="8"/>
  <c r="BB14" i="3"/>
  <c r="BC14" i="3" s="1"/>
  <c r="X14" i="11" s="1"/>
  <c r="M23" i="8"/>
  <c r="AU23" i="3"/>
  <c r="AG15" i="8"/>
  <c r="Y15" i="9" s="1"/>
  <c r="AB15" i="9" s="1"/>
  <c r="AQ15" i="9" s="1"/>
  <c r="AS15" i="9" s="1"/>
  <c r="AH15" i="8"/>
  <c r="AA15" i="9" s="1"/>
  <c r="AD15" i="9" s="1"/>
  <c r="AX15" i="9" s="1"/>
  <c r="BI12" i="9"/>
  <c r="BJ12" i="9" s="1"/>
  <c r="AV14" i="9"/>
  <c r="R15" i="8"/>
  <c r="AF15" i="8" s="1"/>
  <c r="Z15" i="9" s="1"/>
  <c r="AC15" i="9" s="1"/>
  <c r="AT15" i="9" s="1"/>
  <c r="AV15" i="9" s="1"/>
  <c r="AT13" i="9"/>
  <c r="AV13" i="9" s="1"/>
  <c r="J20" i="3"/>
  <c r="A27" i="12"/>
  <c r="I21" i="12"/>
  <c r="H22" i="12"/>
  <c r="H24" i="5"/>
  <c r="I24" i="5"/>
  <c r="AI25" i="23" s="1"/>
  <c r="L20" i="9"/>
  <c r="L26" i="5"/>
  <c r="J25" i="5"/>
  <c r="I21" i="3"/>
  <c r="K21" i="9"/>
  <c r="P26" i="5"/>
  <c r="A27" i="5"/>
  <c r="R27" i="5" s="1"/>
  <c r="O26" i="5"/>
  <c r="T26" i="5"/>
  <c r="K26" i="5"/>
  <c r="F22" i="9"/>
  <c r="F22" i="3"/>
  <c r="S26" i="5"/>
  <c r="D24" i="5"/>
  <c r="R26" i="5"/>
  <c r="E24" i="5"/>
  <c r="AE25" i="23" s="1"/>
  <c r="F24" i="5"/>
  <c r="AF25" i="23" s="1"/>
  <c r="A27" i="11"/>
  <c r="M26" i="5"/>
  <c r="Q26" i="5"/>
  <c r="G24" i="5"/>
  <c r="C24" i="5"/>
  <c r="B23" i="5"/>
  <c r="AD24" i="23" s="1"/>
  <c r="Z23" i="3"/>
  <c r="A26" i="8"/>
  <c r="B24" i="8" l="1"/>
  <c r="AJ24" i="8" s="1"/>
  <c r="G24" i="8"/>
  <c r="C24" i="8"/>
  <c r="D24" i="8" s="1"/>
  <c r="AK25" i="8"/>
  <c r="AU26" i="8"/>
  <c r="AM26" i="8"/>
  <c r="AT26" i="8"/>
  <c r="AL26" i="8"/>
  <c r="AS26" i="8"/>
  <c r="AR26" i="8"/>
  <c r="AQ26" i="8"/>
  <c r="AN26" i="8"/>
  <c r="AP26" i="8"/>
  <c r="AO26" i="8"/>
  <c r="AV26" i="8"/>
  <c r="AW26" i="8"/>
  <c r="AX26" i="8"/>
  <c r="AY26" i="8"/>
  <c r="AZ26" i="8"/>
  <c r="BA26" i="8"/>
  <c r="BB26" i="8"/>
  <c r="BC26" i="8"/>
  <c r="BD26" i="8"/>
  <c r="BE26" i="8"/>
  <c r="BF26" i="8"/>
  <c r="AD23" i="3"/>
  <c r="AH25" i="23"/>
  <c r="U24" i="12" s="1"/>
  <c r="H12" i="11"/>
  <c r="W17" i="8"/>
  <c r="AK21" i="3"/>
  <c r="AI22" i="3"/>
  <c r="AJ22" i="3"/>
  <c r="BH14" i="3"/>
  <c r="BI14" i="3" s="1"/>
  <c r="AA14" i="11" s="1"/>
  <c r="H14" i="11" s="1"/>
  <c r="BT16" i="9"/>
  <c r="BU16" i="9" s="1"/>
  <c r="R16" i="11" s="1"/>
  <c r="BK16" i="9"/>
  <c r="BL16" i="9" s="1"/>
  <c r="AL18" i="9"/>
  <c r="AJ19" i="9"/>
  <c r="AK19" i="9"/>
  <c r="AG25" i="23"/>
  <c r="W24" i="12" s="1"/>
  <c r="BC17" i="9"/>
  <c r="BQ17" i="9" s="1"/>
  <c r="BR17" i="9" s="1"/>
  <c r="AR17" i="9"/>
  <c r="BX17" i="9"/>
  <c r="BY17" i="9" s="1"/>
  <c r="S17" i="11" s="1"/>
  <c r="P17" i="11" s="1"/>
  <c r="AU17" i="9"/>
  <c r="BN17" i="9"/>
  <c r="J20" i="9"/>
  <c r="H20" i="8" s="1"/>
  <c r="I20" i="8" s="1"/>
  <c r="Q20" i="9"/>
  <c r="J19" i="9"/>
  <c r="AJ20" i="23" s="1"/>
  <c r="AK20" i="23" s="1"/>
  <c r="Q19" i="9"/>
  <c r="E24" i="3"/>
  <c r="F24" i="12"/>
  <c r="E24" i="9"/>
  <c r="R22" i="9"/>
  <c r="AO24" i="9"/>
  <c r="G24" i="12"/>
  <c r="G23" i="3"/>
  <c r="N23" i="3" s="1"/>
  <c r="G23" i="9"/>
  <c r="E23" i="12"/>
  <c r="AD24" i="3"/>
  <c r="Q23" i="6"/>
  <c r="AD24" i="17" s="1"/>
  <c r="AC23" i="3" s="1"/>
  <c r="A31" i="6"/>
  <c r="AB32" i="22"/>
  <c r="T33" i="22"/>
  <c r="AC35" i="23"/>
  <c r="U36" i="23"/>
  <c r="S24" i="6"/>
  <c r="Q24" i="6" s="1"/>
  <c r="AD25" i="17" s="1"/>
  <c r="P24" i="12" s="1"/>
  <c r="K22" i="12"/>
  <c r="U34" i="22"/>
  <c r="P33" i="6" s="1"/>
  <c r="AC33" i="22"/>
  <c r="Z25" i="6"/>
  <c r="V25" i="6"/>
  <c r="Y25" i="6"/>
  <c r="T25" i="6"/>
  <c r="AC25" i="6"/>
  <c r="AA25" i="6"/>
  <c r="AB25" i="6"/>
  <c r="W25" i="6"/>
  <c r="AA26" i="6"/>
  <c r="P22" i="12"/>
  <c r="B23" i="3"/>
  <c r="K23" i="12"/>
  <c r="BB15" i="3"/>
  <c r="BC15" i="3" s="1"/>
  <c r="X15" i="11" s="1"/>
  <c r="AD15" i="8"/>
  <c r="T15" i="3" s="1"/>
  <c r="W15" i="3" s="1"/>
  <c r="AL15" i="3" s="1"/>
  <c r="AN15" i="3" s="1"/>
  <c r="Z15" i="8"/>
  <c r="AE15" i="8" s="1"/>
  <c r="V15" i="3" s="1"/>
  <c r="Y15" i="3" s="1"/>
  <c r="AR15" i="3" s="1"/>
  <c r="BF15" i="3" s="1"/>
  <c r="BG15" i="3" s="1"/>
  <c r="W15" i="11" s="1"/>
  <c r="AZ17" i="3"/>
  <c r="BA17" i="3" s="1"/>
  <c r="Z17" i="11" s="1"/>
  <c r="S18" i="8"/>
  <c r="R18" i="3"/>
  <c r="AS18" i="3" s="1"/>
  <c r="L18" i="3"/>
  <c r="N18" i="9" s="1"/>
  <c r="P18" i="9" s="1"/>
  <c r="J20" i="12"/>
  <c r="M18" i="3"/>
  <c r="M18" i="9" s="1"/>
  <c r="O20" i="3"/>
  <c r="X26" i="6"/>
  <c r="AB26" i="6"/>
  <c r="W26" i="6"/>
  <c r="AC26" i="6"/>
  <c r="T26" i="6"/>
  <c r="P19" i="3"/>
  <c r="AM19" i="3" s="1"/>
  <c r="O19" i="3"/>
  <c r="Q19" i="3"/>
  <c r="AA22" i="7"/>
  <c r="M20" i="12"/>
  <c r="AG20" i="9"/>
  <c r="AD22" i="7"/>
  <c r="AC22" i="7"/>
  <c r="O20" i="12"/>
  <c r="B20" i="12" s="1"/>
  <c r="AH20" i="9"/>
  <c r="AM20" i="9" s="1"/>
  <c r="C22" i="6"/>
  <c r="B22" i="6"/>
  <c r="Q20" i="3"/>
  <c r="G24" i="6"/>
  <c r="J24" i="6"/>
  <c r="N24" i="6"/>
  <c r="K24" i="6"/>
  <c r="L24" i="6"/>
  <c r="H24" i="6"/>
  <c r="F24" i="6"/>
  <c r="I24" i="6"/>
  <c r="M24" i="6"/>
  <c r="E24" i="6"/>
  <c r="L19" i="3"/>
  <c r="N19" i="9" s="1"/>
  <c r="R19" i="3"/>
  <c r="AS19" i="3" s="1"/>
  <c r="K19" i="3"/>
  <c r="D23" i="6"/>
  <c r="AZ18" i="3"/>
  <c r="BA18" i="3" s="1"/>
  <c r="Z18" i="11" s="1"/>
  <c r="BX18" i="9"/>
  <c r="V16" i="8"/>
  <c r="X16" i="8" s="1"/>
  <c r="Y16" i="8" s="1"/>
  <c r="M24" i="8"/>
  <c r="AU24" i="3"/>
  <c r="V17" i="8"/>
  <c r="AH16" i="8"/>
  <c r="AA16" i="9" s="1"/>
  <c r="AD16" i="9" s="1"/>
  <c r="AX16" i="9" s="1"/>
  <c r="AG16" i="8"/>
  <c r="Y16" i="9" s="1"/>
  <c r="AB16" i="9" s="1"/>
  <c r="AQ16" i="9" s="1"/>
  <c r="AS16" i="9" s="1"/>
  <c r="AI15" i="8"/>
  <c r="Q15" i="12" s="1"/>
  <c r="Q16" i="8"/>
  <c r="BI13" i="9"/>
  <c r="BJ13" i="9" s="1"/>
  <c r="H13" i="11" s="1"/>
  <c r="Q45" i="7"/>
  <c r="P45" i="7"/>
  <c r="N45" i="7"/>
  <c r="O45" i="7"/>
  <c r="Q46" i="7"/>
  <c r="N46" i="7"/>
  <c r="P46" i="7"/>
  <c r="O46" i="7"/>
  <c r="Z16" i="9"/>
  <c r="AC16" i="9" s="1"/>
  <c r="AT16" i="9" s="1"/>
  <c r="AV16" i="9" s="1"/>
  <c r="BI15" i="9"/>
  <c r="BJ15" i="9" s="1"/>
  <c r="J17" i="8"/>
  <c r="J21" i="3"/>
  <c r="L21" i="9"/>
  <c r="A28" i="12"/>
  <c r="I22" i="12"/>
  <c r="H23" i="12"/>
  <c r="C25" i="5"/>
  <c r="I25" i="5"/>
  <c r="AI26" i="23" s="1"/>
  <c r="F25" i="5"/>
  <c r="AF26" i="23" s="1"/>
  <c r="AO25" i="9" s="1"/>
  <c r="D25" i="5"/>
  <c r="H25" i="5"/>
  <c r="G25" i="5"/>
  <c r="E25" i="5"/>
  <c r="AE26" i="23" s="1"/>
  <c r="M27" i="5"/>
  <c r="P27" i="5"/>
  <c r="L27" i="5"/>
  <c r="Q27" i="5"/>
  <c r="O27" i="5"/>
  <c r="A28" i="5"/>
  <c r="O28" i="5" s="1"/>
  <c r="S27" i="5"/>
  <c r="N27" i="5"/>
  <c r="T27" i="5"/>
  <c r="K27" i="5"/>
  <c r="J26" i="5"/>
  <c r="I22" i="3"/>
  <c r="K22" i="9"/>
  <c r="B24" i="5"/>
  <c r="AD25" i="23" s="1"/>
  <c r="F23" i="9"/>
  <c r="F23" i="3"/>
  <c r="A28" i="11"/>
  <c r="Z24" i="3"/>
  <c r="A27" i="8"/>
  <c r="AS27" i="8" l="1"/>
  <c r="AR27" i="8"/>
  <c r="AQ27" i="8"/>
  <c r="AP27" i="8"/>
  <c r="AO27" i="8"/>
  <c r="AT27" i="8"/>
  <c r="AL27" i="8"/>
  <c r="AM27" i="8"/>
  <c r="AU27" i="8"/>
  <c r="AN27" i="8"/>
  <c r="AV27" i="8"/>
  <c r="AW27" i="8"/>
  <c r="AX27" i="8"/>
  <c r="AY27" i="8"/>
  <c r="AZ27" i="8"/>
  <c r="BA27" i="8"/>
  <c r="BB27" i="8"/>
  <c r="BC27" i="8"/>
  <c r="BD27" i="8"/>
  <c r="BE27" i="8"/>
  <c r="BF27" i="8"/>
  <c r="B25" i="8"/>
  <c r="AJ25" i="8" s="1"/>
  <c r="G25" i="8"/>
  <c r="C25" i="8"/>
  <c r="D25" i="8" s="1"/>
  <c r="AK26" i="8"/>
  <c r="AH26" i="23"/>
  <c r="U25" i="12" s="1"/>
  <c r="X17" i="8"/>
  <c r="Y17" i="8" s="1"/>
  <c r="Z17" i="8" s="1"/>
  <c r="AE17" i="8" s="1"/>
  <c r="V17" i="3" s="1"/>
  <c r="Y17" i="3" s="1"/>
  <c r="AR17" i="3" s="1"/>
  <c r="BF17" i="3" s="1"/>
  <c r="BG17" i="3" s="1"/>
  <c r="W17" i="11" s="1"/>
  <c r="AK22" i="3"/>
  <c r="AI23" i="3"/>
  <c r="AJ23" i="3"/>
  <c r="BT17" i="9"/>
  <c r="BU17" i="9" s="1"/>
  <c r="R17" i="11" s="1"/>
  <c r="BK17" i="9"/>
  <c r="BL17" i="9" s="1"/>
  <c r="AJ20" i="9"/>
  <c r="AK20" i="9"/>
  <c r="AL19" i="9"/>
  <c r="AG26" i="23"/>
  <c r="W25" i="12" s="1"/>
  <c r="BV17" i="9"/>
  <c r="BW17" i="9" s="1"/>
  <c r="W20" i="9"/>
  <c r="BB20" i="9" s="1"/>
  <c r="X20" i="9"/>
  <c r="L20" i="8" s="1"/>
  <c r="S19" i="9"/>
  <c r="AR19" i="9" s="1"/>
  <c r="T19" i="9"/>
  <c r="W19" i="9"/>
  <c r="BB19" i="9" s="1"/>
  <c r="V19" i="9"/>
  <c r="BA19" i="9" s="1"/>
  <c r="O19" i="9"/>
  <c r="D19" i="11" s="1"/>
  <c r="X19" i="9"/>
  <c r="L19" i="8" s="1"/>
  <c r="U19" i="9"/>
  <c r="AZ19" i="9" s="1"/>
  <c r="BM19" i="9" s="1"/>
  <c r="H19" i="8"/>
  <c r="I19" i="8" s="1"/>
  <c r="AJ21" i="23"/>
  <c r="AK21" i="23" s="1"/>
  <c r="G24" i="3"/>
  <c r="N24" i="3" s="1"/>
  <c r="E24" i="12"/>
  <c r="G24" i="9"/>
  <c r="G25" i="12"/>
  <c r="F25" i="12"/>
  <c r="E25" i="3"/>
  <c r="E25" i="9"/>
  <c r="R23" i="9"/>
  <c r="AC36" i="23"/>
  <c r="U37" i="23"/>
  <c r="R24" i="6"/>
  <c r="AA25" i="17" s="1"/>
  <c r="B24" i="3" s="1"/>
  <c r="A32" i="6"/>
  <c r="AB33" i="22"/>
  <c r="T34" i="22"/>
  <c r="U35" i="22"/>
  <c r="P34" i="6" s="1"/>
  <c r="AC34" i="22"/>
  <c r="V26" i="6"/>
  <c r="Y26" i="6"/>
  <c r="Z26" i="6"/>
  <c r="U26" i="6"/>
  <c r="S25" i="6"/>
  <c r="R25" i="6" s="1"/>
  <c r="AA26" i="17" s="1"/>
  <c r="K25" i="12" s="1"/>
  <c r="AC24" i="3"/>
  <c r="P23" i="12"/>
  <c r="AX15" i="3"/>
  <c r="S18" i="9"/>
  <c r="K18" i="8" s="1"/>
  <c r="N18" i="8" s="1"/>
  <c r="O18" i="8" s="1"/>
  <c r="P18" i="8" s="1"/>
  <c r="J21" i="12"/>
  <c r="V18" i="9"/>
  <c r="BA18" i="9" s="1"/>
  <c r="BC18" i="9" s="1"/>
  <c r="BQ18" i="9" s="1"/>
  <c r="U18" i="9"/>
  <c r="AZ18" i="9" s="1"/>
  <c r="BM18" i="9" s="1"/>
  <c r="O18" i="9"/>
  <c r="T19" i="8"/>
  <c r="S19" i="8" s="1"/>
  <c r="P20" i="3"/>
  <c r="H20" i="3"/>
  <c r="K20" i="3" s="1"/>
  <c r="T18" i="9"/>
  <c r="W18" i="8" s="1"/>
  <c r="B21" i="9"/>
  <c r="AA23" i="7"/>
  <c r="J22" i="12" s="1"/>
  <c r="M21" i="12"/>
  <c r="AG21" i="9"/>
  <c r="AD23" i="7"/>
  <c r="AC23" i="7"/>
  <c r="O21" i="12"/>
  <c r="B21" i="12" s="1"/>
  <c r="AH21" i="9"/>
  <c r="AM21" i="9" s="1"/>
  <c r="P19" i="9"/>
  <c r="K25" i="6"/>
  <c r="E25" i="6"/>
  <c r="F25" i="6"/>
  <c r="N25" i="6"/>
  <c r="J25" i="6"/>
  <c r="I25" i="6"/>
  <c r="L25" i="6"/>
  <c r="G25" i="6"/>
  <c r="M25" i="6"/>
  <c r="H25" i="6"/>
  <c r="D24" i="6"/>
  <c r="C23" i="6"/>
  <c r="B23" i="6"/>
  <c r="Q21" i="3"/>
  <c r="H21" i="3"/>
  <c r="M21" i="3" s="1"/>
  <c r="M21" i="9" s="1"/>
  <c r="O21" i="3"/>
  <c r="P21" i="3"/>
  <c r="AM21" i="3" s="1"/>
  <c r="Z16" i="8"/>
  <c r="AE16" i="8" s="1"/>
  <c r="V16" i="3" s="1"/>
  <c r="Y16" i="3" s="1"/>
  <c r="AR16" i="3" s="1"/>
  <c r="BF16" i="3" s="1"/>
  <c r="BG16" i="3" s="1"/>
  <c r="W16" i="11" s="1"/>
  <c r="AD16" i="8"/>
  <c r="T16" i="3" s="1"/>
  <c r="W16" i="3" s="1"/>
  <c r="AL16" i="3" s="1"/>
  <c r="AX16" i="3" s="1"/>
  <c r="AA16" i="8"/>
  <c r="AC16" i="8" s="1"/>
  <c r="U16" i="3" s="1"/>
  <c r="X16" i="3" s="1"/>
  <c r="AO16" i="3" s="1"/>
  <c r="BB16" i="3" s="1"/>
  <c r="BC16" i="3" s="1"/>
  <c r="X16" i="11" s="1"/>
  <c r="M25" i="8"/>
  <c r="AU25" i="3"/>
  <c r="AI16" i="8"/>
  <c r="Q16" i="12" s="1"/>
  <c r="Q17" i="8"/>
  <c r="BI16" i="9"/>
  <c r="BJ16" i="9" s="1"/>
  <c r="L22" i="9"/>
  <c r="J22" i="3"/>
  <c r="I23" i="12"/>
  <c r="A29" i="12"/>
  <c r="H24" i="12"/>
  <c r="B25" i="5"/>
  <c r="AD26" i="23" s="1"/>
  <c r="H26" i="5"/>
  <c r="I26" i="5"/>
  <c r="AI27" i="23" s="1"/>
  <c r="R28" i="5"/>
  <c r="N28" i="5"/>
  <c r="T28" i="5"/>
  <c r="K28" i="5"/>
  <c r="M28" i="5"/>
  <c r="A29" i="5"/>
  <c r="T29" i="5" s="1"/>
  <c r="L28" i="5"/>
  <c r="E26" i="5"/>
  <c r="AE27" i="23" s="1"/>
  <c r="F26" i="5"/>
  <c r="AF27" i="23" s="1"/>
  <c r="AO26" i="9" s="1"/>
  <c r="J27" i="5"/>
  <c r="Q28" i="5"/>
  <c r="S28" i="5"/>
  <c r="C26" i="5"/>
  <c r="P28" i="5"/>
  <c r="G26" i="5"/>
  <c r="D26" i="5"/>
  <c r="I23" i="3"/>
  <c r="K23" i="9"/>
  <c r="F24" i="9"/>
  <c r="F24" i="3"/>
  <c r="A29" i="11"/>
  <c r="Z25" i="3"/>
  <c r="A28" i="8"/>
  <c r="AK27" i="8" l="1"/>
  <c r="AQ28" i="8"/>
  <c r="AP28" i="8"/>
  <c r="AO28" i="8"/>
  <c r="AN28" i="8"/>
  <c r="AU28" i="8"/>
  <c r="AM28" i="8"/>
  <c r="AR28" i="8"/>
  <c r="AT28" i="8"/>
  <c r="AS28" i="8"/>
  <c r="AL28" i="8"/>
  <c r="AV28" i="8"/>
  <c r="AW28" i="8"/>
  <c r="AX28" i="8"/>
  <c r="AY28" i="8"/>
  <c r="AZ28" i="8"/>
  <c r="BA28" i="8"/>
  <c r="BB28" i="8"/>
  <c r="BC28" i="8"/>
  <c r="BD28" i="8"/>
  <c r="BE28" i="8"/>
  <c r="BF28" i="8"/>
  <c r="B26" i="8"/>
  <c r="AJ26" i="8" s="1"/>
  <c r="G26" i="8"/>
  <c r="C26" i="8"/>
  <c r="D26" i="8" s="1"/>
  <c r="AD25" i="3"/>
  <c r="AH27" i="23"/>
  <c r="U26" i="12" s="1"/>
  <c r="AD17" i="8"/>
  <c r="T17" i="3" s="1"/>
  <c r="W17" i="3" s="1"/>
  <c r="AL17" i="3" s="1"/>
  <c r="AN17" i="3" s="1"/>
  <c r="AA17" i="8"/>
  <c r="AC17" i="8" s="1"/>
  <c r="U17" i="3" s="1"/>
  <c r="X17" i="3" s="1"/>
  <c r="AO17" i="3" s="1"/>
  <c r="BB17" i="3" s="1"/>
  <c r="BC17" i="3" s="1"/>
  <c r="X17" i="11" s="1"/>
  <c r="AK23" i="3"/>
  <c r="T20" i="8"/>
  <c r="S20" i="8" s="1"/>
  <c r="AM20" i="3"/>
  <c r="BX20" i="9" s="1"/>
  <c r="AI24" i="3"/>
  <c r="AJ24" i="3"/>
  <c r="BT19" i="9"/>
  <c r="BU19" i="9" s="1"/>
  <c r="R19" i="11" s="1"/>
  <c r="AY16" i="3"/>
  <c r="V16" i="11" s="1"/>
  <c r="BH16" i="3"/>
  <c r="BI16" i="3" s="1"/>
  <c r="AA16" i="11" s="1"/>
  <c r="H16" i="11" s="1"/>
  <c r="AY15" i="3"/>
  <c r="V15" i="11" s="1"/>
  <c r="BH15" i="3"/>
  <c r="BI15" i="3" s="1"/>
  <c r="AA15" i="11" s="1"/>
  <c r="H15" i="11" s="1"/>
  <c r="AK21" i="9"/>
  <c r="AJ21" i="9"/>
  <c r="AU19" i="9"/>
  <c r="BV19" i="9" s="1"/>
  <c r="AL20" i="9"/>
  <c r="AG27" i="23"/>
  <c r="W26" i="12" s="1"/>
  <c r="K19" i="8"/>
  <c r="J19" i="8" s="1"/>
  <c r="AZ19" i="3"/>
  <c r="BA19" i="3" s="1"/>
  <c r="Z19" i="11" s="1"/>
  <c r="BC19" i="9"/>
  <c r="BQ19" i="9" s="1"/>
  <c r="BR19" i="9" s="1"/>
  <c r="BN19" i="9"/>
  <c r="BX19" i="9"/>
  <c r="BY19" i="9" s="1"/>
  <c r="S19" i="11" s="1"/>
  <c r="P19" i="11" s="1"/>
  <c r="J21" i="9"/>
  <c r="O21" i="9" s="1"/>
  <c r="D21" i="11" s="1"/>
  <c r="Q21" i="9"/>
  <c r="G25" i="9"/>
  <c r="G25" i="3"/>
  <c r="N25" i="3" s="1"/>
  <c r="E25" i="12"/>
  <c r="G26" i="12"/>
  <c r="R24" i="9"/>
  <c r="F26" i="12"/>
  <c r="E26" i="9"/>
  <c r="E26" i="3"/>
  <c r="S26" i="6"/>
  <c r="Q26" i="6" s="1"/>
  <c r="AD27" i="17" s="1"/>
  <c r="K24" i="12"/>
  <c r="A33" i="6"/>
  <c r="AB34" i="22"/>
  <c r="T35" i="22"/>
  <c r="AC37" i="23"/>
  <c r="U38" i="23"/>
  <c r="Q25" i="6"/>
  <c r="AD26" i="17" s="1"/>
  <c r="AC25" i="3" s="1"/>
  <c r="B25" i="3"/>
  <c r="U36" i="22"/>
  <c r="P35" i="6" s="1"/>
  <c r="AC35" i="22"/>
  <c r="O17" i="11"/>
  <c r="D18" i="11"/>
  <c r="AR18" i="9"/>
  <c r="R20" i="3"/>
  <c r="AS20" i="3" s="1"/>
  <c r="M20" i="3"/>
  <c r="M20" i="9" s="1"/>
  <c r="O20" i="9" s="1"/>
  <c r="D20" i="11" s="1"/>
  <c r="BR18" i="9"/>
  <c r="BY18" i="9"/>
  <c r="S18" i="11" s="1"/>
  <c r="P18" i="11" s="1"/>
  <c r="L20" i="3"/>
  <c r="N20" i="9" s="1"/>
  <c r="BN18" i="9"/>
  <c r="W19" i="8"/>
  <c r="AU18" i="9"/>
  <c r="BV18" i="9" s="1"/>
  <c r="BW18" i="9" s="1"/>
  <c r="O18" i="11" s="1"/>
  <c r="J18" i="8"/>
  <c r="O22" i="3"/>
  <c r="B22" i="9"/>
  <c r="X27" i="6"/>
  <c r="AB27" i="6"/>
  <c r="Z27" i="6"/>
  <c r="U27" i="6"/>
  <c r="T27" i="6"/>
  <c r="V27" i="6"/>
  <c r="AA27" i="6"/>
  <c r="AC27" i="6"/>
  <c r="Y27" i="6"/>
  <c r="W27" i="6"/>
  <c r="AA24" i="7"/>
  <c r="J23" i="12" s="1"/>
  <c r="AG22" i="9"/>
  <c r="M22" i="12"/>
  <c r="O22" i="12"/>
  <c r="B22" i="12" s="1"/>
  <c r="AH22" i="9"/>
  <c r="AM22" i="9" s="1"/>
  <c r="AC24" i="7"/>
  <c r="AD24" i="7"/>
  <c r="K21" i="3"/>
  <c r="T21" i="8"/>
  <c r="S21" i="8" s="1"/>
  <c r="D25" i="6"/>
  <c r="L21" i="3"/>
  <c r="N21" i="9" s="1"/>
  <c r="R21" i="3"/>
  <c r="AS21" i="3" s="1"/>
  <c r="G26" i="6"/>
  <c r="J26" i="6"/>
  <c r="H26" i="6"/>
  <c r="N26" i="6"/>
  <c r="K26" i="6"/>
  <c r="M26" i="6"/>
  <c r="I26" i="6"/>
  <c r="F26" i="6"/>
  <c r="L26" i="6"/>
  <c r="E26" i="6"/>
  <c r="B24" i="6"/>
  <c r="C24" i="6"/>
  <c r="R17" i="8"/>
  <c r="AF17" i="8" s="1"/>
  <c r="Z17" i="9" s="1"/>
  <c r="AC17" i="9" s="1"/>
  <c r="AT17" i="9" s="1"/>
  <c r="AV17" i="9" s="1"/>
  <c r="AN16" i="3"/>
  <c r="M26" i="8"/>
  <c r="AU26" i="3"/>
  <c r="V18" i="8"/>
  <c r="X18" i="8" s="1"/>
  <c r="Y18" i="8" s="1"/>
  <c r="AH17" i="8"/>
  <c r="AA17" i="9" s="1"/>
  <c r="AD17" i="9" s="1"/>
  <c r="AX17" i="9" s="1"/>
  <c r="AG17" i="8"/>
  <c r="Y17" i="9" s="1"/>
  <c r="AB17" i="9" s="1"/>
  <c r="AQ17" i="9" s="1"/>
  <c r="AS17" i="9" s="1"/>
  <c r="Q47" i="7"/>
  <c r="P47" i="7"/>
  <c r="N47" i="7"/>
  <c r="O47" i="7"/>
  <c r="Q48" i="7"/>
  <c r="N48" i="7"/>
  <c r="P48" i="7"/>
  <c r="O48" i="7"/>
  <c r="J23" i="3"/>
  <c r="A30" i="12"/>
  <c r="I24" i="12"/>
  <c r="H25" i="12"/>
  <c r="H27" i="5"/>
  <c r="I27" i="5"/>
  <c r="AI28" i="23" s="1"/>
  <c r="L23" i="9"/>
  <c r="K29" i="5"/>
  <c r="F27" i="5"/>
  <c r="AF28" i="23" s="1"/>
  <c r="AO27" i="9" s="1"/>
  <c r="N29" i="5"/>
  <c r="J28" i="5"/>
  <c r="A30" i="5"/>
  <c r="K30" i="5" s="1"/>
  <c r="M29" i="5"/>
  <c r="R29" i="5"/>
  <c r="S29" i="5"/>
  <c r="O29" i="5"/>
  <c r="P29" i="5"/>
  <c r="Q29" i="5"/>
  <c r="L29" i="5"/>
  <c r="E27" i="5"/>
  <c r="AE28" i="23" s="1"/>
  <c r="C27" i="5"/>
  <c r="G27" i="5"/>
  <c r="D27" i="5"/>
  <c r="B26" i="5"/>
  <c r="AD27" i="23" s="1"/>
  <c r="I24" i="3"/>
  <c r="K24" i="9"/>
  <c r="F25" i="3"/>
  <c r="F25" i="9"/>
  <c r="A30" i="11"/>
  <c r="Z26" i="3"/>
  <c r="A29" i="8"/>
  <c r="AD26" i="3" l="1"/>
  <c r="AK28" i="8"/>
  <c r="AO29" i="8"/>
  <c r="AN29" i="8"/>
  <c r="AU29" i="8"/>
  <c r="AM29" i="8"/>
  <c r="AT29" i="8"/>
  <c r="AL29" i="8"/>
  <c r="AS29" i="8"/>
  <c r="AP29" i="8"/>
  <c r="AR29" i="8"/>
  <c r="AQ29" i="8"/>
  <c r="AV29" i="8"/>
  <c r="AW29" i="8"/>
  <c r="AX29" i="8"/>
  <c r="AY29" i="8"/>
  <c r="AZ29" i="8"/>
  <c r="BA29" i="8"/>
  <c r="BB29" i="8"/>
  <c r="BC29" i="8"/>
  <c r="BD29" i="8"/>
  <c r="BE29" i="8"/>
  <c r="BF29" i="8"/>
  <c r="AK29" i="8" s="1"/>
  <c r="B27" i="8"/>
  <c r="AJ27" i="8" s="1"/>
  <c r="G27" i="8"/>
  <c r="C27" i="8"/>
  <c r="D27" i="8" s="1"/>
  <c r="AH28" i="23"/>
  <c r="U27" i="12" s="1"/>
  <c r="AX17" i="3"/>
  <c r="BH17" i="3" s="1"/>
  <c r="BI17" i="3" s="1"/>
  <c r="AA17" i="11" s="1"/>
  <c r="AK24" i="3"/>
  <c r="BK19" i="9"/>
  <c r="BL19" i="9" s="1"/>
  <c r="AI25" i="3"/>
  <c r="AJ25" i="3"/>
  <c r="BT18" i="9"/>
  <c r="BU18" i="9" s="1"/>
  <c r="R18" i="11" s="1"/>
  <c r="BK18" i="9"/>
  <c r="BL18" i="9" s="1"/>
  <c r="AL21" i="9"/>
  <c r="AK22" i="9"/>
  <c r="AJ22" i="9"/>
  <c r="R26" i="6"/>
  <c r="AA27" i="17" s="1"/>
  <c r="K26" i="12" s="1"/>
  <c r="N19" i="8"/>
  <c r="O19" i="8" s="1"/>
  <c r="P19" i="8" s="1"/>
  <c r="Q19" i="8" s="1"/>
  <c r="AG28" i="23"/>
  <c r="W27" i="12" s="1"/>
  <c r="K25" i="9"/>
  <c r="S21" i="9"/>
  <c r="AR21" i="9" s="1"/>
  <c r="W21" i="9"/>
  <c r="BB21" i="9" s="1"/>
  <c r="V21" i="9"/>
  <c r="BA21" i="9" s="1"/>
  <c r="T21" i="9"/>
  <c r="AJ22" i="23"/>
  <c r="AK22" i="23" s="1"/>
  <c r="H21" i="8"/>
  <c r="I21" i="8" s="1"/>
  <c r="U21" i="9"/>
  <c r="AZ21" i="9" s="1"/>
  <c r="BM21" i="9" s="1"/>
  <c r="BN21" i="9" s="1"/>
  <c r="X21" i="9"/>
  <c r="L21" i="8" s="1"/>
  <c r="J22" i="9"/>
  <c r="AJ23" i="23" s="1"/>
  <c r="AK23" i="23" s="1"/>
  <c r="Q22" i="9"/>
  <c r="G26" i="9"/>
  <c r="E26" i="12"/>
  <c r="G26" i="3"/>
  <c r="N26" i="3" s="1"/>
  <c r="E27" i="9"/>
  <c r="E27" i="3"/>
  <c r="F27" i="12"/>
  <c r="G27" i="12"/>
  <c r="R25" i="9"/>
  <c r="A34" i="6"/>
  <c r="AB35" i="22"/>
  <c r="T36" i="22"/>
  <c r="AC38" i="23"/>
  <c r="U39" i="23"/>
  <c r="U37" i="22"/>
  <c r="P36" i="6" s="1"/>
  <c r="AC36" i="22"/>
  <c r="P25" i="12"/>
  <c r="AC26" i="3"/>
  <c r="U20" i="9"/>
  <c r="AZ20" i="9" s="1"/>
  <c r="BM20" i="9" s="1"/>
  <c r="BN20" i="9" s="1"/>
  <c r="P20" i="9"/>
  <c r="V20" i="9"/>
  <c r="BA20" i="9" s="1"/>
  <c r="BC20" i="9" s="1"/>
  <c r="BQ20" i="9" s="1"/>
  <c r="BR20" i="9" s="1"/>
  <c r="T20" i="9"/>
  <c r="W20" i="8" s="1"/>
  <c r="S20" i="9"/>
  <c r="K20" i="8" s="1"/>
  <c r="N20" i="8" s="1"/>
  <c r="O20" i="8" s="1"/>
  <c r="P20" i="8" s="1"/>
  <c r="BY20" i="9"/>
  <c r="S20" i="11" s="1"/>
  <c r="P20" i="11" s="1"/>
  <c r="AZ20" i="3"/>
  <c r="BA20" i="3" s="1"/>
  <c r="Z20" i="11" s="1"/>
  <c r="P22" i="3"/>
  <c r="AM22" i="3" s="1"/>
  <c r="H22" i="3"/>
  <c r="M22" i="3" s="1"/>
  <c r="M22" i="9" s="1"/>
  <c r="Q22" i="3"/>
  <c r="Q23" i="3"/>
  <c r="S27" i="6"/>
  <c r="X28" i="6"/>
  <c r="Y28" i="6"/>
  <c r="U28" i="6"/>
  <c r="V28" i="6"/>
  <c r="T28" i="6"/>
  <c r="W28" i="6"/>
  <c r="AC28" i="6"/>
  <c r="AB28" i="6"/>
  <c r="Z28" i="6"/>
  <c r="AA28" i="6"/>
  <c r="B23" i="9"/>
  <c r="AA25" i="7"/>
  <c r="AH23" i="9"/>
  <c r="AM23" i="9" s="1"/>
  <c r="O23" i="12"/>
  <c r="B23" i="12" s="1"/>
  <c r="AC25" i="7"/>
  <c r="AD25" i="7"/>
  <c r="M23" i="12"/>
  <c r="AG23" i="9"/>
  <c r="P21" i="9"/>
  <c r="C25" i="6"/>
  <c r="B25" i="6"/>
  <c r="E27" i="6"/>
  <c r="F27" i="6"/>
  <c r="H27" i="6"/>
  <c r="M27" i="6"/>
  <c r="L27" i="6"/>
  <c r="I27" i="6"/>
  <c r="N27" i="6"/>
  <c r="K27" i="6"/>
  <c r="J27" i="6"/>
  <c r="G27" i="6"/>
  <c r="D26" i="6"/>
  <c r="Q18" i="8"/>
  <c r="AD18" i="8"/>
  <c r="T18" i="3" s="1"/>
  <c r="W18" i="3" s="1"/>
  <c r="AL18" i="3" s="1"/>
  <c r="AN18" i="3" s="1"/>
  <c r="Z18" i="8"/>
  <c r="AE18" i="8" s="1"/>
  <c r="V18" i="3" s="1"/>
  <c r="Y18" i="3" s="1"/>
  <c r="AR18" i="3" s="1"/>
  <c r="BF18" i="3" s="1"/>
  <c r="BG18" i="3" s="1"/>
  <c r="W18" i="11" s="1"/>
  <c r="AA18" i="8"/>
  <c r="AC18" i="8" s="1"/>
  <c r="U18" i="3" s="1"/>
  <c r="X18" i="3" s="1"/>
  <c r="AO18" i="3" s="1"/>
  <c r="BW19" i="9"/>
  <c r="M27" i="8"/>
  <c r="AU27" i="3"/>
  <c r="AI17" i="8"/>
  <c r="Q17" i="12" s="1"/>
  <c r="BI17" i="9"/>
  <c r="BJ17" i="9" s="1"/>
  <c r="L24" i="9"/>
  <c r="J24" i="3"/>
  <c r="A31" i="12"/>
  <c r="I25" i="12"/>
  <c r="H26" i="12"/>
  <c r="H28" i="5"/>
  <c r="I28" i="5"/>
  <c r="AI29" i="23" s="1"/>
  <c r="G28" i="5"/>
  <c r="T30" i="5"/>
  <c r="C28" i="5"/>
  <c r="L30" i="5"/>
  <c r="P30" i="5"/>
  <c r="N30" i="5"/>
  <c r="A31" i="5"/>
  <c r="K31" i="5" s="1"/>
  <c r="F28" i="5"/>
  <c r="AF29" i="23" s="1"/>
  <c r="AO28" i="9" s="1"/>
  <c r="S30" i="5"/>
  <c r="Q30" i="5"/>
  <c r="R30" i="5"/>
  <c r="O30" i="5"/>
  <c r="D28" i="5"/>
  <c r="M30" i="5"/>
  <c r="E28" i="5"/>
  <c r="AE29" i="23" s="1"/>
  <c r="J29" i="5"/>
  <c r="B27" i="5"/>
  <c r="AD28" i="23" s="1"/>
  <c r="I25" i="3"/>
  <c r="F26" i="9"/>
  <c r="F26" i="3"/>
  <c r="A31" i="11"/>
  <c r="Z27" i="3"/>
  <c r="A30" i="8"/>
  <c r="B29" i="8" l="1"/>
  <c r="AJ29" i="8" s="1"/>
  <c r="G29" i="8"/>
  <c r="C29" i="8"/>
  <c r="D29" i="8" s="1"/>
  <c r="AU30" i="8"/>
  <c r="AM30" i="8"/>
  <c r="AT30" i="8"/>
  <c r="AL30" i="8"/>
  <c r="AS30" i="8"/>
  <c r="AR30" i="8"/>
  <c r="AQ30" i="8"/>
  <c r="AN30" i="8"/>
  <c r="AO30" i="8"/>
  <c r="AP30" i="8"/>
  <c r="AV30" i="8"/>
  <c r="AW30" i="8"/>
  <c r="AX30" i="8"/>
  <c r="AY30" i="8"/>
  <c r="AZ30" i="8"/>
  <c r="BA30" i="8"/>
  <c r="BB30" i="8"/>
  <c r="BC30" i="8"/>
  <c r="BD30" i="8"/>
  <c r="BE30" i="8"/>
  <c r="BF30" i="8"/>
  <c r="AK30" i="8" s="1"/>
  <c r="B28" i="8"/>
  <c r="AJ28" i="8" s="1"/>
  <c r="C28" i="8"/>
  <c r="D28" i="8" s="1"/>
  <c r="G28" i="8"/>
  <c r="AD27" i="3"/>
  <c r="AH29" i="23"/>
  <c r="U28" i="12" s="1"/>
  <c r="AY17" i="3"/>
  <c r="V17" i="11" s="1"/>
  <c r="H17" i="11"/>
  <c r="AK25" i="3"/>
  <c r="AI26" i="3"/>
  <c r="AJ26" i="3"/>
  <c r="BT21" i="9"/>
  <c r="BU21" i="9" s="1"/>
  <c r="R21" i="11" s="1"/>
  <c r="AU21" i="9"/>
  <c r="BV21" i="9" s="1"/>
  <c r="AJ23" i="9"/>
  <c r="AK23" i="9"/>
  <c r="AL22" i="9"/>
  <c r="B26" i="3"/>
  <c r="AG29" i="23"/>
  <c r="W28" i="12" s="1"/>
  <c r="K21" i="8"/>
  <c r="N21" i="8" s="1"/>
  <c r="O21" i="8" s="1"/>
  <c r="P21" i="8" s="1"/>
  <c r="W21" i="8"/>
  <c r="BC21" i="9"/>
  <c r="BQ21" i="9" s="1"/>
  <c r="BR21" i="9" s="1"/>
  <c r="L25" i="9"/>
  <c r="H22" i="8"/>
  <c r="I22" i="8" s="1"/>
  <c r="W22" i="9"/>
  <c r="BB22" i="9" s="1"/>
  <c r="BX21" i="9"/>
  <c r="BY21" i="9" s="1"/>
  <c r="S21" i="11" s="1"/>
  <c r="P21" i="11" s="1"/>
  <c r="X22" i="9"/>
  <c r="L22" i="8" s="1"/>
  <c r="AZ21" i="3"/>
  <c r="BA21" i="3" s="1"/>
  <c r="Z21" i="11" s="1"/>
  <c r="V22" i="9"/>
  <c r="BA22" i="9" s="1"/>
  <c r="J23" i="9"/>
  <c r="H23" i="8" s="1"/>
  <c r="I23" i="8" s="1"/>
  <c r="Q23" i="9"/>
  <c r="AD28" i="3"/>
  <c r="G28" i="12"/>
  <c r="R26" i="9"/>
  <c r="E27" i="12"/>
  <c r="G27" i="3"/>
  <c r="N27" i="3" s="1"/>
  <c r="G27" i="9"/>
  <c r="F28" i="12"/>
  <c r="E28" i="9"/>
  <c r="E28" i="3"/>
  <c r="AC39" i="23"/>
  <c r="U40" i="23"/>
  <c r="A35" i="6"/>
  <c r="AB36" i="22"/>
  <c r="T37" i="22"/>
  <c r="U38" i="22"/>
  <c r="P37" i="6" s="1"/>
  <c r="AC37" i="22"/>
  <c r="O19" i="11"/>
  <c r="P26" i="12"/>
  <c r="AU20" i="9"/>
  <c r="BV20" i="9" s="1"/>
  <c r="BW20" i="9" s="1"/>
  <c r="O20" i="11" s="1"/>
  <c r="V20" i="8"/>
  <c r="X20" i="8" s="1"/>
  <c r="Y20" i="8" s="1"/>
  <c r="AR20" i="9"/>
  <c r="J20" i="8"/>
  <c r="R20" i="8" s="1"/>
  <c r="AF20" i="8" s="1"/>
  <c r="O22" i="9"/>
  <c r="D22" i="11" s="1"/>
  <c r="U22" i="9"/>
  <c r="AZ22" i="9" s="1"/>
  <c r="BM22" i="9" s="1"/>
  <c r="S22" i="9"/>
  <c r="K22" i="8" s="1"/>
  <c r="N22" i="8" s="1"/>
  <c r="O22" i="8" s="1"/>
  <c r="P22" i="8" s="1"/>
  <c r="R22" i="3"/>
  <c r="AS22" i="3" s="1"/>
  <c r="P23" i="3"/>
  <c r="AM23" i="3" s="1"/>
  <c r="T22" i="9"/>
  <c r="T22" i="8"/>
  <c r="O23" i="3"/>
  <c r="K22" i="3"/>
  <c r="L22" i="3"/>
  <c r="N22" i="9" s="1"/>
  <c r="H23" i="3"/>
  <c r="M23" i="3" s="1"/>
  <c r="M23" i="9" s="1"/>
  <c r="B24" i="9"/>
  <c r="J24" i="12"/>
  <c r="AB29" i="6"/>
  <c r="W29" i="6"/>
  <c r="AA29" i="6"/>
  <c r="U29" i="6"/>
  <c r="AC29" i="6"/>
  <c r="V29" i="6"/>
  <c r="T29" i="6"/>
  <c r="X29" i="6"/>
  <c r="Z29" i="6"/>
  <c r="Y29" i="6"/>
  <c r="S28" i="6"/>
  <c r="Q27" i="6"/>
  <c r="AD28" i="17" s="1"/>
  <c r="R27" i="6"/>
  <c r="AA28" i="17" s="1"/>
  <c r="AA26" i="7"/>
  <c r="J25" i="12" s="1"/>
  <c r="O24" i="12"/>
  <c r="B24" i="12" s="1"/>
  <c r="AH24" i="9"/>
  <c r="AM24" i="9" s="1"/>
  <c r="AD26" i="7"/>
  <c r="AC26" i="7"/>
  <c r="AG24" i="9"/>
  <c r="M24" i="12"/>
  <c r="B26" i="6"/>
  <c r="C26" i="6"/>
  <c r="D27" i="6"/>
  <c r="L28" i="6"/>
  <c r="M28" i="6"/>
  <c r="F28" i="6"/>
  <c r="K28" i="6"/>
  <c r="I28" i="6"/>
  <c r="J28" i="6"/>
  <c r="G28" i="6"/>
  <c r="N28" i="6"/>
  <c r="E28" i="6"/>
  <c r="H28" i="6"/>
  <c r="P24" i="3"/>
  <c r="AM24" i="3" s="1"/>
  <c r="Q24" i="3"/>
  <c r="H24" i="3"/>
  <c r="K24" i="3" s="1"/>
  <c r="O24" i="3"/>
  <c r="AH18" i="8"/>
  <c r="AA18" i="9" s="1"/>
  <c r="AD18" i="9" s="1"/>
  <c r="AX18" i="9" s="1"/>
  <c r="AG18" i="8"/>
  <c r="Y18" i="9" s="1"/>
  <c r="AB18" i="9" s="1"/>
  <c r="AQ18" i="9" s="1"/>
  <c r="AS18" i="9" s="1"/>
  <c r="AX18" i="3"/>
  <c r="V19" i="8"/>
  <c r="X19" i="8" s="1"/>
  <c r="Y19" i="8" s="1"/>
  <c r="AA19" i="8" s="1"/>
  <c r="AC19" i="8" s="1"/>
  <c r="U19" i="3" s="1"/>
  <c r="X19" i="3" s="1"/>
  <c r="AO19" i="3" s="1"/>
  <c r="R18" i="8"/>
  <c r="AF18" i="8" s="1"/>
  <c r="Z18" i="9" s="1"/>
  <c r="AC18" i="9" s="1"/>
  <c r="AT18" i="9" s="1"/>
  <c r="AV18" i="9" s="1"/>
  <c r="BB18" i="3"/>
  <c r="BC18" i="3" s="1"/>
  <c r="X18" i="11" s="1"/>
  <c r="M28" i="8"/>
  <c r="AU28" i="3"/>
  <c r="AH19" i="8"/>
  <c r="AA19" i="9" s="1"/>
  <c r="AD19" i="9" s="1"/>
  <c r="AX19" i="9" s="1"/>
  <c r="AG19" i="8"/>
  <c r="Y19" i="9" s="1"/>
  <c r="AB19" i="9" s="1"/>
  <c r="AQ19" i="9" s="1"/>
  <c r="AS19" i="9" s="1"/>
  <c r="R19" i="8"/>
  <c r="AF19" i="8" s="1"/>
  <c r="Z19" i="9" s="1"/>
  <c r="AC19" i="9" s="1"/>
  <c r="AT19" i="9" s="1"/>
  <c r="AV19" i="9" s="1"/>
  <c r="Q50" i="7"/>
  <c r="O50" i="7"/>
  <c r="N50" i="7"/>
  <c r="P50" i="7"/>
  <c r="Q49" i="7"/>
  <c r="O49" i="7"/>
  <c r="P49" i="7"/>
  <c r="N49" i="7"/>
  <c r="J25" i="3"/>
  <c r="I26" i="3"/>
  <c r="A32" i="12"/>
  <c r="I26" i="12"/>
  <c r="H27" i="12"/>
  <c r="H29" i="5"/>
  <c r="I29" i="5"/>
  <c r="AI30" i="23" s="1"/>
  <c r="Q31" i="5"/>
  <c r="O31" i="5"/>
  <c r="S31" i="5"/>
  <c r="T31" i="5"/>
  <c r="L31" i="5"/>
  <c r="N31" i="5"/>
  <c r="M31" i="5"/>
  <c r="A32" i="5"/>
  <c r="P32" i="5" s="1"/>
  <c r="R31" i="5"/>
  <c r="P31" i="5"/>
  <c r="B28" i="5"/>
  <c r="AD29" i="23" s="1"/>
  <c r="J30" i="5"/>
  <c r="G29" i="5"/>
  <c r="F29" i="5"/>
  <c r="AF30" i="23" s="1"/>
  <c r="AO29" i="9" s="1"/>
  <c r="D29" i="5"/>
  <c r="C29" i="5"/>
  <c r="E29" i="5"/>
  <c r="AE30" i="23" s="1"/>
  <c r="K26" i="9"/>
  <c r="F27" i="3"/>
  <c r="F27" i="9"/>
  <c r="A32" i="11"/>
  <c r="Z28" i="3"/>
  <c r="A31" i="8"/>
  <c r="B30" i="8" l="1"/>
  <c r="AJ30" i="8" s="1"/>
  <c r="G30" i="8"/>
  <c r="C30" i="8"/>
  <c r="D30" i="8" s="1"/>
  <c r="AS31" i="8"/>
  <c r="AR31" i="8"/>
  <c r="AQ31" i="8"/>
  <c r="AP31" i="8"/>
  <c r="AO31" i="8"/>
  <c r="AT31" i="8"/>
  <c r="AL31" i="8"/>
  <c r="AU31" i="8"/>
  <c r="AN31" i="8"/>
  <c r="AM31" i="8"/>
  <c r="AV31" i="8"/>
  <c r="AW31" i="8"/>
  <c r="AX31" i="8"/>
  <c r="AY31" i="8"/>
  <c r="AZ31" i="8"/>
  <c r="BA31" i="8"/>
  <c r="BB31" i="8"/>
  <c r="BC31" i="8"/>
  <c r="BD31" i="8"/>
  <c r="BE31" i="8"/>
  <c r="BF31" i="8"/>
  <c r="AK31" i="8" s="1"/>
  <c r="AH30" i="23"/>
  <c r="U29" i="12" s="1"/>
  <c r="AK26" i="3"/>
  <c r="AJ27" i="3"/>
  <c r="BK21" i="9"/>
  <c r="BL21" i="9" s="1"/>
  <c r="BT20" i="9"/>
  <c r="BU20" i="9" s="1"/>
  <c r="R20" i="11" s="1"/>
  <c r="BK20" i="9"/>
  <c r="BL20" i="9" s="1"/>
  <c r="AY18" i="3"/>
  <c r="V18" i="11" s="1"/>
  <c r="BH18" i="3"/>
  <c r="BI18" i="3" s="1"/>
  <c r="AA18" i="11" s="1"/>
  <c r="AJ24" i="9"/>
  <c r="AK24" i="9"/>
  <c r="AL23" i="9"/>
  <c r="J21" i="8"/>
  <c r="R21" i="8" s="1"/>
  <c r="AF21" i="8" s="1"/>
  <c r="V21" i="8"/>
  <c r="X21" i="8" s="1"/>
  <c r="Y21" i="8" s="1"/>
  <c r="AD21" i="8" s="1"/>
  <c r="T21" i="3" s="1"/>
  <c r="W21" i="3" s="1"/>
  <c r="AL21" i="3" s="1"/>
  <c r="AG30" i="23"/>
  <c r="W29" i="12" s="1"/>
  <c r="BC22" i="9"/>
  <c r="BQ22" i="9" s="1"/>
  <c r="BR22" i="9" s="1"/>
  <c r="BX22" i="9"/>
  <c r="BY22" i="9" s="1"/>
  <c r="S22" i="11" s="1"/>
  <c r="P22" i="11" s="1"/>
  <c r="X23" i="9"/>
  <c r="L23" i="8" s="1"/>
  <c r="AZ22" i="3"/>
  <c r="BA22" i="3" s="1"/>
  <c r="Z22" i="11" s="1"/>
  <c r="W23" i="9"/>
  <c r="BB23" i="9" s="1"/>
  <c r="AJ24" i="23"/>
  <c r="AK24" i="23" s="1"/>
  <c r="O23" i="9"/>
  <c r="D23" i="11" s="1"/>
  <c r="J24" i="9"/>
  <c r="H24" i="8" s="1"/>
  <c r="I24" i="8" s="1"/>
  <c r="Q24" i="9"/>
  <c r="G28" i="3"/>
  <c r="N28" i="3" s="1"/>
  <c r="G28" i="9"/>
  <c r="E28" i="12"/>
  <c r="F29" i="12"/>
  <c r="E29" i="9"/>
  <c r="E29" i="3"/>
  <c r="AD29" i="3"/>
  <c r="G29" i="12"/>
  <c r="R27" i="9"/>
  <c r="AB37" i="22"/>
  <c r="A36" i="6"/>
  <c r="T38" i="22"/>
  <c r="AC40" i="23"/>
  <c r="U41" i="23"/>
  <c r="U39" i="22"/>
  <c r="P38" i="6" s="1"/>
  <c r="AC38" i="22"/>
  <c r="K27" i="12"/>
  <c r="B27" i="3"/>
  <c r="P27" i="12"/>
  <c r="BN22" i="9"/>
  <c r="S29" i="6"/>
  <c r="R29" i="6" s="1"/>
  <c r="AA30" i="17" s="1"/>
  <c r="AD20" i="8"/>
  <c r="T20" i="3" s="1"/>
  <c r="W20" i="3" s="1"/>
  <c r="AL20" i="3" s="1"/>
  <c r="AN20" i="3" s="1"/>
  <c r="AA20" i="8"/>
  <c r="AC20" i="8" s="1"/>
  <c r="U20" i="3" s="1"/>
  <c r="X20" i="3" s="1"/>
  <c r="AO20" i="3" s="1"/>
  <c r="Z20" i="8"/>
  <c r="AE20" i="8" s="1"/>
  <c r="V20" i="3" s="1"/>
  <c r="Y20" i="3" s="1"/>
  <c r="AR20" i="3" s="1"/>
  <c r="BF20" i="3" s="1"/>
  <c r="BG20" i="3" s="1"/>
  <c r="W20" i="11" s="1"/>
  <c r="J22" i="8"/>
  <c r="Q22" i="8" s="1"/>
  <c r="AR22" i="9"/>
  <c r="T23" i="8"/>
  <c r="S23" i="8" s="1"/>
  <c r="W22" i="8"/>
  <c r="V22" i="8"/>
  <c r="P22" i="9"/>
  <c r="S22" i="8"/>
  <c r="V23" i="9"/>
  <c r="BA23" i="9" s="1"/>
  <c r="AU22" i="9"/>
  <c r="BV22" i="9" s="1"/>
  <c r="L23" i="3"/>
  <c r="N23" i="9" s="1"/>
  <c r="T23" i="9"/>
  <c r="U23" i="9"/>
  <c r="AZ23" i="9" s="1"/>
  <c r="BM23" i="9" s="1"/>
  <c r="S23" i="9"/>
  <c r="K23" i="8" s="1"/>
  <c r="N23" i="8" s="1"/>
  <c r="O23" i="8" s="1"/>
  <c r="P23" i="8" s="1"/>
  <c r="R23" i="3"/>
  <c r="AS23" i="3" s="1"/>
  <c r="K23" i="3"/>
  <c r="R28" i="6"/>
  <c r="AA29" i="17" s="1"/>
  <c r="Q28" i="6"/>
  <c r="AD29" i="17" s="1"/>
  <c r="AA31" i="6"/>
  <c r="X31" i="6"/>
  <c r="Y31" i="6"/>
  <c r="AC31" i="6"/>
  <c r="V31" i="6"/>
  <c r="AB31" i="6"/>
  <c r="T31" i="6"/>
  <c r="Z31" i="6"/>
  <c r="W31" i="6"/>
  <c r="U31" i="6"/>
  <c r="AC30" i="6"/>
  <c r="Y30" i="6"/>
  <c r="W30" i="6"/>
  <c r="AA30" i="6"/>
  <c r="X30" i="6"/>
  <c r="Z30" i="6"/>
  <c r="V30" i="6"/>
  <c r="T30" i="6"/>
  <c r="U30" i="6"/>
  <c r="AB30" i="6"/>
  <c r="O25" i="3"/>
  <c r="AA27" i="7"/>
  <c r="B26" i="9" s="1"/>
  <c r="B25" i="9"/>
  <c r="M25" i="12"/>
  <c r="AG25" i="9"/>
  <c r="O25" i="12"/>
  <c r="B25" i="12" s="1"/>
  <c r="AH25" i="9"/>
  <c r="AM25" i="9" s="1"/>
  <c r="AC27" i="7"/>
  <c r="AD27" i="7"/>
  <c r="D28" i="6"/>
  <c r="F29" i="6"/>
  <c r="L29" i="6"/>
  <c r="E29" i="6"/>
  <c r="G29" i="6"/>
  <c r="I29" i="6"/>
  <c r="M29" i="6"/>
  <c r="J29" i="6"/>
  <c r="H29" i="6"/>
  <c r="K29" i="6"/>
  <c r="N29" i="6"/>
  <c r="R24" i="3"/>
  <c r="AS24" i="3" s="1"/>
  <c r="L24" i="3"/>
  <c r="N24" i="9" s="1"/>
  <c r="M24" i="3"/>
  <c r="M24" i="9" s="1"/>
  <c r="T24" i="8"/>
  <c r="S24" i="8" s="1"/>
  <c r="C27" i="6"/>
  <c r="B27" i="6"/>
  <c r="AH20" i="8"/>
  <c r="AA20" i="9" s="1"/>
  <c r="AD20" i="9" s="1"/>
  <c r="AX20" i="9" s="1"/>
  <c r="AG20" i="8"/>
  <c r="Y20" i="9" s="1"/>
  <c r="AB20" i="9" s="1"/>
  <c r="AQ20" i="9" s="1"/>
  <c r="AS20" i="9" s="1"/>
  <c r="Z19" i="8"/>
  <c r="AE19" i="8" s="1"/>
  <c r="V19" i="3" s="1"/>
  <c r="Y19" i="3" s="1"/>
  <c r="AR19" i="3" s="1"/>
  <c r="BF19" i="3" s="1"/>
  <c r="BG19" i="3" s="1"/>
  <c r="W19" i="11" s="1"/>
  <c r="BB19" i="3"/>
  <c r="BC19" i="3" s="1"/>
  <c r="X19" i="11" s="1"/>
  <c r="Q20" i="8"/>
  <c r="BI18" i="9"/>
  <c r="BJ18" i="9" s="1"/>
  <c r="AD19" i="8"/>
  <c r="T19" i="3" s="1"/>
  <c r="W19" i="3" s="1"/>
  <c r="AL19" i="3" s="1"/>
  <c r="AI18" i="8"/>
  <c r="Q18" i="12" s="1"/>
  <c r="M29" i="8"/>
  <c r="AU29" i="3"/>
  <c r="BW21" i="9"/>
  <c r="Z20" i="9"/>
  <c r="AC20" i="9" s="1"/>
  <c r="AT20" i="9" s="1"/>
  <c r="AV20" i="9" s="1"/>
  <c r="BI19" i="9"/>
  <c r="BJ19" i="9" s="1"/>
  <c r="AI19" i="8"/>
  <c r="Q19" i="12" s="1"/>
  <c r="L26" i="9"/>
  <c r="J26" i="3"/>
  <c r="I27" i="12"/>
  <c r="A33" i="12"/>
  <c r="H28" i="12"/>
  <c r="S32" i="5"/>
  <c r="Q32" i="5"/>
  <c r="O32" i="5"/>
  <c r="L32" i="5"/>
  <c r="H30" i="5"/>
  <c r="I30" i="5"/>
  <c r="AI31" i="23" s="1"/>
  <c r="N32" i="5"/>
  <c r="T32" i="5"/>
  <c r="J31" i="5"/>
  <c r="F31" i="5" s="1"/>
  <c r="AF32" i="23" s="1"/>
  <c r="AO31" i="9" s="1"/>
  <c r="R32" i="5"/>
  <c r="A33" i="5"/>
  <c r="N33" i="5" s="1"/>
  <c r="K32" i="5"/>
  <c r="M32" i="5"/>
  <c r="G30" i="5"/>
  <c r="C30" i="5"/>
  <c r="F30" i="5"/>
  <c r="AF31" i="23" s="1"/>
  <c r="AO30" i="9" s="1"/>
  <c r="D30" i="5"/>
  <c r="E30" i="5"/>
  <c r="AE31" i="23" s="1"/>
  <c r="B29" i="5"/>
  <c r="AD30" i="23" s="1"/>
  <c r="K27" i="9"/>
  <c r="I27" i="3"/>
  <c r="F28" i="9"/>
  <c r="F28" i="3"/>
  <c r="A33" i="11"/>
  <c r="Z29" i="3"/>
  <c r="A32" i="8"/>
  <c r="B31" i="8" l="1"/>
  <c r="AJ31" i="8" s="1"/>
  <c r="C31" i="8"/>
  <c r="D31" i="8" s="1"/>
  <c r="G31" i="8"/>
  <c r="AQ32" i="8"/>
  <c r="AP32" i="8"/>
  <c r="AO32" i="8"/>
  <c r="AN32" i="8"/>
  <c r="AU32" i="8"/>
  <c r="AM32" i="8"/>
  <c r="AR32" i="8"/>
  <c r="AT32" i="8"/>
  <c r="AS32" i="8"/>
  <c r="AL32" i="8"/>
  <c r="AV32" i="8"/>
  <c r="AW32" i="8"/>
  <c r="AX32" i="8"/>
  <c r="AY32" i="8"/>
  <c r="AZ32" i="8"/>
  <c r="BA32" i="8"/>
  <c r="BB32" i="8"/>
  <c r="BC32" i="8"/>
  <c r="BD32" i="8"/>
  <c r="BE32" i="8"/>
  <c r="BF32" i="8"/>
  <c r="AK32" i="8" s="1"/>
  <c r="AH31" i="23"/>
  <c r="U30" i="12" s="1"/>
  <c r="H18" i="11"/>
  <c r="AJ28" i="3"/>
  <c r="BT22" i="9"/>
  <c r="BU22" i="9" s="1"/>
  <c r="R22" i="11" s="1"/>
  <c r="BK22" i="9"/>
  <c r="BL22" i="9" s="1"/>
  <c r="AK25" i="9"/>
  <c r="AJ25" i="9"/>
  <c r="AL24" i="9"/>
  <c r="AA21" i="8"/>
  <c r="AC21" i="8" s="1"/>
  <c r="U21" i="3" s="1"/>
  <c r="X21" i="3" s="1"/>
  <c r="AO21" i="3" s="1"/>
  <c r="BB21" i="3" s="1"/>
  <c r="BC21" i="3" s="1"/>
  <c r="X21" i="11" s="1"/>
  <c r="Z21" i="8"/>
  <c r="AE21" i="8" s="1"/>
  <c r="V21" i="3" s="1"/>
  <c r="Y21" i="3" s="1"/>
  <c r="AR21" i="3" s="1"/>
  <c r="BF21" i="3" s="1"/>
  <c r="BG21" i="3" s="1"/>
  <c r="W21" i="11" s="1"/>
  <c r="AG31" i="23"/>
  <c r="W30" i="12" s="1"/>
  <c r="BX23" i="9"/>
  <c r="BY23" i="9" s="1"/>
  <c r="S23" i="11" s="1"/>
  <c r="P23" i="11" s="1"/>
  <c r="AZ23" i="3"/>
  <c r="BA23" i="3" s="1"/>
  <c r="Z23" i="11" s="1"/>
  <c r="BC23" i="9"/>
  <c r="BQ23" i="9" s="1"/>
  <c r="BR23" i="9" s="1"/>
  <c r="BN23" i="9"/>
  <c r="U24" i="9"/>
  <c r="AZ24" i="9" s="1"/>
  <c r="BM24" i="9" s="1"/>
  <c r="X24" i="9"/>
  <c r="L24" i="8" s="1"/>
  <c r="AJ25" i="23"/>
  <c r="AK25" i="23" s="1"/>
  <c r="W24" i="9"/>
  <c r="BB24" i="9" s="1"/>
  <c r="J26" i="9"/>
  <c r="H26" i="8" s="1"/>
  <c r="I26" i="8" s="1"/>
  <c r="Q26" i="9"/>
  <c r="J25" i="9"/>
  <c r="AJ26" i="23" s="1"/>
  <c r="AK26" i="23" s="1"/>
  <c r="Q25" i="9"/>
  <c r="G30" i="12"/>
  <c r="E29" i="12"/>
  <c r="G29" i="3"/>
  <c r="N29" i="3" s="1"/>
  <c r="G29" i="9"/>
  <c r="E30" i="3"/>
  <c r="F30" i="12"/>
  <c r="E30" i="9"/>
  <c r="R28" i="9"/>
  <c r="G31" i="12"/>
  <c r="AC41" i="23"/>
  <c r="U42" i="23"/>
  <c r="A37" i="6"/>
  <c r="AB38" i="22"/>
  <c r="T39" i="22"/>
  <c r="U40" i="22"/>
  <c r="P39" i="6" s="1"/>
  <c r="AC39" i="22"/>
  <c r="O21" i="11"/>
  <c r="Q29" i="6"/>
  <c r="AC27" i="3"/>
  <c r="K28" i="12"/>
  <c r="B28" i="3"/>
  <c r="AC28" i="3"/>
  <c r="AI28" i="3" s="1"/>
  <c r="B29" i="3"/>
  <c r="K29" i="12"/>
  <c r="AX20" i="3"/>
  <c r="BB20" i="3"/>
  <c r="BC20" i="3" s="1"/>
  <c r="X20" i="11" s="1"/>
  <c r="X22" i="8"/>
  <c r="Y22" i="8" s="1"/>
  <c r="AA22" i="8" s="1"/>
  <c r="AC22" i="8" s="1"/>
  <c r="U22" i="3" s="1"/>
  <c r="X22" i="3" s="1"/>
  <c r="AO22" i="3" s="1"/>
  <c r="W23" i="8"/>
  <c r="V23" i="8"/>
  <c r="P23" i="9"/>
  <c r="AR23" i="9"/>
  <c r="AU23" i="9"/>
  <c r="BV23" i="9" s="1"/>
  <c r="BW23" i="9" s="1"/>
  <c r="O23" i="11" s="1"/>
  <c r="BW22" i="9"/>
  <c r="O22" i="11" s="1"/>
  <c r="J23" i="8"/>
  <c r="R23" i="8" s="1"/>
  <c r="AF23" i="8" s="1"/>
  <c r="H25" i="3"/>
  <c r="K25" i="3" s="1"/>
  <c r="P25" i="3"/>
  <c r="S30" i="6"/>
  <c r="Q25" i="3"/>
  <c r="X32" i="6"/>
  <c r="V32" i="6"/>
  <c r="T32" i="6"/>
  <c r="AA32" i="6"/>
  <c r="AB32" i="6"/>
  <c r="Z32" i="6"/>
  <c r="AC32" i="6"/>
  <c r="Y32" i="6"/>
  <c r="W32" i="6"/>
  <c r="U32" i="6"/>
  <c r="J26" i="12"/>
  <c r="S31" i="6"/>
  <c r="P26" i="3"/>
  <c r="AM26" i="3" s="1"/>
  <c r="AA28" i="7"/>
  <c r="B27" i="9" s="1"/>
  <c r="AD28" i="7"/>
  <c r="AC28" i="7"/>
  <c r="AH26" i="9"/>
  <c r="AM26" i="9" s="1"/>
  <c r="O26" i="12"/>
  <c r="B26" i="12" s="1"/>
  <c r="M26" i="12"/>
  <c r="AG26" i="9"/>
  <c r="S24" i="9"/>
  <c r="K24" i="8" s="1"/>
  <c r="N24" i="8" s="1"/>
  <c r="O24" i="8" s="1"/>
  <c r="P24" i="8" s="1"/>
  <c r="V24" i="9"/>
  <c r="BA24" i="9" s="1"/>
  <c r="T24" i="9"/>
  <c r="O24" i="9"/>
  <c r="B28" i="6"/>
  <c r="C28" i="6"/>
  <c r="M30" i="6"/>
  <c r="E30" i="6"/>
  <c r="G30" i="6"/>
  <c r="J30" i="6"/>
  <c r="F30" i="6"/>
  <c r="I30" i="6"/>
  <c r="K30" i="6"/>
  <c r="H30" i="6"/>
  <c r="N30" i="6"/>
  <c r="L30" i="6"/>
  <c r="P24" i="9"/>
  <c r="D29" i="6"/>
  <c r="AI20" i="8"/>
  <c r="Q20" i="12" s="1"/>
  <c r="AH22" i="8"/>
  <c r="AA22" i="9" s="1"/>
  <c r="AD22" i="9" s="1"/>
  <c r="AX22" i="9" s="1"/>
  <c r="AX19" i="3"/>
  <c r="AN19" i="3"/>
  <c r="M30" i="8"/>
  <c r="AU30" i="3"/>
  <c r="AN21" i="3"/>
  <c r="AX21" i="3"/>
  <c r="AH21" i="8"/>
  <c r="AA21" i="9" s="1"/>
  <c r="AD21" i="9" s="1"/>
  <c r="AX21" i="9" s="1"/>
  <c r="AG22" i="8"/>
  <c r="Y22" i="9" s="1"/>
  <c r="AB22" i="9" s="1"/>
  <c r="AQ22" i="9" s="1"/>
  <c r="AS22" i="9" s="1"/>
  <c r="BI20" i="9"/>
  <c r="BJ20" i="9" s="1"/>
  <c r="AG21" i="8"/>
  <c r="Y21" i="9" s="1"/>
  <c r="AB21" i="9" s="1"/>
  <c r="AQ21" i="9" s="1"/>
  <c r="AS21" i="9" s="1"/>
  <c r="R22" i="8"/>
  <c r="AF22" i="8" s="1"/>
  <c r="Z22" i="9" s="1"/>
  <c r="AC22" i="9" s="1"/>
  <c r="AT22" i="9" s="1"/>
  <c r="AV22" i="9" s="1"/>
  <c r="Q21" i="8"/>
  <c r="Q51" i="7"/>
  <c r="N51" i="7"/>
  <c r="O51" i="7"/>
  <c r="P51" i="7"/>
  <c r="Z21" i="9"/>
  <c r="AC21" i="9" s="1"/>
  <c r="AT21" i="9" s="1"/>
  <c r="AV21" i="9" s="1"/>
  <c r="J27" i="3"/>
  <c r="L27" i="9"/>
  <c r="I28" i="12"/>
  <c r="A34" i="12"/>
  <c r="H29" i="12"/>
  <c r="C31" i="5"/>
  <c r="H31" i="5"/>
  <c r="E31" i="5"/>
  <c r="AE32" i="23" s="1"/>
  <c r="G31" i="5"/>
  <c r="D31" i="5"/>
  <c r="I31" i="5"/>
  <c r="AI32" i="23" s="1"/>
  <c r="L33" i="5"/>
  <c r="J32" i="5"/>
  <c r="E32" i="5" s="1"/>
  <c r="AE33" i="23" s="1"/>
  <c r="Q33" i="5"/>
  <c r="P33" i="5"/>
  <c r="M33" i="5"/>
  <c r="S33" i="5"/>
  <c r="R33" i="5"/>
  <c r="O33" i="5"/>
  <c r="A34" i="5"/>
  <c r="M34" i="5" s="1"/>
  <c r="T33" i="5"/>
  <c r="K33" i="5"/>
  <c r="B30" i="5"/>
  <c r="AD31" i="23" s="1"/>
  <c r="K28" i="9"/>
  <c r="F29" i="9"/>
  <c r="F29" i="3"/>
  <c r="I28" i="3"/>
  <c r="A34" i="11"/>
  <c r="Z30" i="3"/>
  <c r="A33" i="8"/>
  <c r="B32" i="8" l="1"/>
  <c r="AJ32" i="8" s="1"/>
  <c r="G32" i="8"/>
  <c r="C32" i="8"/>
  <c r="D32" i="8" s="1"/>
  <c r="AO33" i="8"/>
  <c r="AN33" i="8"/>
  <c r="AU33" i="8"/>
  <c r="AM33" i="8"/>
  <c r="AT33" i="8"/>
  <c r="AL33" i="8"/>
  <c r="AS33" i="8"/>
  <c r="AP33" i="8"/>
  <c r="AQ33" i="8"/>
  <c r="AR33" i="8"/>
  <c r="AV33" i="8"/>
  <c r="AW33" i="8"/>
  <c r="AX33" i="8"/>
  <c r="AY33" i="8"/>
  <c r="AZ33" i="8"/>
  <c r="BA33" i="8"/>
  <c r="BB33" i="8"/>
  <c r="BC33" i="8"/>
  <c r="BD33" i="8"/>
  <c r="BE33" i="8"/>
  <c r="BF33" i="8"/>
  <c r="AD30" i="3"/>
  <c r="AH32" i="23"/>
  <c r="U31" i="12" s="1"/>
  <c r="T25" i="8"/>
  <c r="S25" i="8" s="1"/>
  <c r="AM25" i="3"/>
  <c r="AI27" i="3"/>
  <c r="AK27" i="3" s="1"/>
  <c r="AK28" i="3"/>
  <c r="AJ29" i="3"/>
  <c r="AY19" i="3"/>
  <c r="V19" i="11" s="1"/>
  <c r="BH19" i="3"/>
  <c r="BI19" i="3" s="1"/>
  <c r="AA19" i="11" s="1"/>
  <c r="H19" i="11" s="1"/>
  <c r="BK23" i="9"/>
  <c r="BL23" i="9" s="1"/>
  <c r="AY21" i="3"/>
  <c r="V21" i="11" s="1"/>
  <c r="BH21" i="3"/>
  <c r="BI21" i="3" s="1"/>
  <c r="AA21" i="11" s="1"/>
  <c r="AY20" i="3"/>
  <c r="V20" i="11" s="1"/>
  <c r="BH20" i="3"/>
  <c r="BI20" i="3" s="1"/>
  <c r="AA20" i="11" s="1"/>
  <c r="H20" i="11" s="1"/>
  <c r="AL25" i="9"/>
  <c r="AJ26" i="9"/>
  <c r="AK26" i="9"/>
  <c r="AG32" i="23"/>
  <c r="W31" i="12" s="1"/>
  <c r="BX24" i="9"/>
  <c r="BY24" i="9" s="1"/>
  <c r="S24" i="11" s="1"/>
  <c r="P24" i="11" s="1"/>
  <c r="AZ24" i="3"/>
  <c r="BA24" i="3" s="1"/>
  <c r="Z24" i="11" s="1"/>
  <c r="W26" i="9"/>
  <c r="BB26" i="9" s="1"/>
  <c r="X25" i="9"/>
  <c r="L25" i="8" s="1"/>
  <c r="BC24" i="9"/>
  <c r="BQ24" i="9" s="1"/>
  <c r="BR24" i="9" s="1"/>
  <c r="X26" i="9"/>
  <c r="L26" i="8" s="1"/>
  <c r="H25" i="8"/>
  <c r="I25" i="8" s="1"/>
  <c r="W25" i="9"/>
  <c r="BB25" i="9" s="1"/>
  <c r="AJ27" i="23"/>
  <c r="AK27" i="23" s="1"/>
  <c r="J27" i="9"/>
  <c r="H27" i="8" s="1"/>
  <c r="I27" i="8" s="1"/>
  <c r="Q27" i="9"/>
  <c r="R29" i="9"/>
  <c r="E31" i="9"/>
  <c r="E31" i="3"/>
  <c r="F31" i="12"/>
  <c r="AD31" i="3"/>
  <c r="E30" i="12"/>
  <c r="G30" i="3"/>
  <c r="N30" i="3" s="1"/>
  <c r="G30" i="9"/>
  <c r="E32" i="3"/>
  <c r="F32" i="12"/>
  <c r="E32" i="9"/>
  <c r="A38" i="6"/>
  <c r="AB39" i="22"/>
  <c r="T40" i="22"/>
  <c r="AC42" i="23"/>
  <c r="U43" i="23"/>
  <c r="U41" i="22"/>
  <c r="P40" i="6" s="1"/>
  <c r="AC40" i="22"/>
  <c r="AD30" i="17"/>
  <c r="AC29" i="3" s="1"/>
  <c r="AI29" i="3" s="1"/>
  <c r="BN24" i="9"/>
  <c r="D24" i="11"/>
  <c r="P28" i="12"/>
  <c r="X23" i="8"/>
  <c r="Y23" i="8" s="1"/>
  <c r="AA23" i="8" s="1"/>
  <c r="AC23" i="8" s="1"/>
  <c r="U23" i="3" s="1"/>
  <c r="X23" i="3" s="1"/>
  <c r="AO23" i="3" s="1"/>
  <c r="AD22" i="8"/>
  <c r="T22" i="3" s="1"/>
  <c r="W22" i="3" s="1"/>
  <c r="AL22" i="3" s="1"/>
  <c r="Z22" i="8"/>
  <c r="AE22" i="8" s="1"/>
  <c r="V22" i="3" s="1"/>
  <c r="Y22" i="3" s="1"/>
  <c r="AR22" i="3" s="1"/>
  <c r="BF22" i="3" s="1"/>
  <c r="BG22" i="3" s="1"/>
  <c r="W22" i="11" s="1"/>
  <c r="BB22" i="3"/>
  <c r="BC22" i="3" s="1"/>
  <c r="X22" i="11" s="1"/>
  <c r="M25" i="3"/>
  <c r="M25" i="9" s="1"/>
  <c r="O25" i="9" s="1"/>
  <c r="D25" i="11" s="1"/>
  <c r="BT23" i="9"/>
  <c r="R25" i="3"/>
  <c r="AS25" i="3" s="1"/>
  <c r="L25" i="3"/>
  <c r="N25" i="9" s="1"/>
  <c r="AU24" i="9"/>
  <c r="BV24" i="9" s="1"/>
  <c r="BW24" i="9" s="1"/>
  <c r="O24" i="11" s="1"/>
  <c r="O26" i="3"/>
  <c r="S32" i="6"/>
  <c r="Q31" i="6"/>
  <c r="AD32" i="17" s="1"/>
  <c r="R31" i="6"/>
  <c r="AA32" i="17" s="1"/>
  <c r="Q26" i="3"/>
  <c r="H26" i="3"/>
  <c r="L26" i="3" s="1"/>
  <c r="N26" i="9" s="1"/>
  <c r="J27" i="12"/>
  <c r="AA33" i="6"/>
  <c r="AC33" i="6"/>
  <c r="Y33" i="6"/>
  <c r="V33" i="6"/>
  <c r="Z33" i="6"/>
  <c r="W33" i="6"/>
  <c r="T33" i="6"/>
  <c r="X33" i="6"/>
  <c r="AB33" i="6"/>
  <c r="U33" i="6"/>
  <c r="Q30" i="6"/>
  <c r="AD31" i="17" s="1"/>
  <c r="R30" i="6"/>
  <c r="AA31" i="17" s="1"/>
  <c r="P27" i="3"/>
  <c r="AA29" i="7"/>
  <c r="J28" i="12" s="1"/>
  <c r="J24" i="8"/>
  <c r="R24" i="8" s="1"/>
  <c r="AF24" i="8" s="1"/>
  <c r="V24" i="8"/>
  <c r="AR24" i="9"/>
  <c r="AG27" i="9"/>
  <c r="M27" i="12"/>
  <c r="AD29" i="7"/>
  <c r="AC29" i="7"/>
  <c r="AH27" i="9"/>
  <c r="AM27" i="9" s="1"/>
  <c r="O27" i="12"/>
  <c r="B27" i="12" s="1"/>
  <c r="W24" i="8"/>
  <c r="T26" i="8"/>
  <c r="B29" i="6"/>
  <c r="C29" i="6"/>
  <c r="D30" i="6"/>
  <c r="G31" i="6"/>
  <c r="M31" i="6"/>
  <c r="N31" i="6"/>
  <c r="E31" i="6"/>
  <c r="J31" i="6"/>
  <c r="H31" i="6"/>
  <c r="F31" i="6"/>
  <c r="K31" i="6"/>
  <c r="I31" i="6"/>
  <c r="L31" i="6"/>
  <c r="M31" i="8"/>
  <c r="AU31" i="3"/>
  <c r="AH23" i="8"/>
  <c r="AA23" i="9" s="1"/>
  <c r="AD23" i="9" s="1"/>
  <c r="AX23" i="9" s="1"/>
  <c r="AG23" i="8"/>
  <c r="Y23" i="9" s="1"/>
  <c r="AB23" i="9" s="1"/>
  <c r="AQ23" i="9" s="1"/>
  <c r="AS23" i="9" s="1"/>
  <c r="AI21" i="8"/>
  <c r="Q21" i="12" s="1"/>
  <c r="AI22" i="8"/>
  <c r="Q22" i="12" s="1"/>
  <c r="Q23" i="8"/>
  <c r="Q52" i="7"/>
  <c r="O52" i="7"/>
  <c r="N52" i="7"/>
  <c r="P52" i="7"/>
  <c r="BI22" i="9"/>
  <c r="BJ22" i="9" s="1"/>
  <c r="BI21" i="9"/>
  <c r="BJ21" i="9" s="1"/>
  <c r="Z23" i="9"/>
  <c r="AC23" i="9" s="1"/>
  <c r="AT23" i="9" s="1"/>
  <c r="AV23" i="9" s="1"/>
  <c r="J28" i="3"/>
  <c r="I29" i="12"/>
  <c r="A35" i="12"/>
  <c r="H30" i="12"/>
  <c r="B31" i="5"/>
  <c r="AD32" i="23" s="1"/>
  <c r="C32" i="5"/>
  <c r="G32" i="5"/>
  <c r="D32" i="5"/>
  <c r="H32" i="5"/>
  <c r="I32" i="5"/>
  <c r="AI33" i="23" s="1"/>
  <c r="F32" i="5"/>
  <c r="AF33" i="23" s="1"/>
  <c r="AO32" i="9" s="1"/>
  <c r="L34" i="5"/>
  <c r="A35" i="5"/>
  <c r="M35" i="5" s="1"/>
  <c r="P34" i="5"/>
  <c r="O34" i="5"/>
  <c r="Q34" i="5"/>
  <c r="T34" i="5"/>
  <c r="N34" i="5"/>
  <c r="J33" i="5"/>
  <c r="K34" i="5"/>
  <c r="S34" i="5"/>
  <c r="R34" i="5"/>
  <c r="L28" i="9"/>
  <c r="K29" i="9"/>
  <c r="F30" i="9"/>
  <c r="F30" i="3"/>
  <c r="I29" i="3"/>
  <c r="A35" i="11"/>
  <c r="Z31" i="3"/>
  <c r="A34" i="8"/>
  <c r="AK33" i="8" l="1"/>
  <c r="AU34" i="8"/>
  <c r="AM34" i="8"/>
  <c r="AT34" i="8"/>
  <c r="AL34" i="8"/>
  <c r="AS34" i="8"/>
  <c r="AR34" i="8"/>
  <c r="AQ34" i="8"/>
  <c r="AN34" i="8"/>
  <c r="AP34" i="8"/>
  <c r="AO34" i="8"/>
  <c r="AV34" i="8"/>
  <c r="AW34" i="8"/>
  <c r="AX34" i="8"/>
  <c r="AY34" i="8"/>
  <c r="AZ34" i="8"/>
  <c r="BA34" i="8"/>
  <c r="BB34" i="8"/>
  <c r="BC34" i="8"/>
  <c r="BD34" i="8"/>
  <c r="BE34" i="8"/>
  <c r="BF34" i="8"/>
  <c r="AH33" i="23"/>
  <c r="U32" i="12" s="1"/>
  <c r="H21" i="11"/>
  <c r="AM27" i="3"/>
  <c r="AK29" i="3"/>
  <c r="AJ30" i="3"/>
  <c r="BT24" i="9"/>
  <c r="BU24" i="9" s="1"/>
  <c r="R24" i="11" s="1"/>
  <c r="BK24" i="9"/>
  <c r="BL24" i="9" s="1"/>
  <c r="AJ27" i="9"/>
  <c r="AK27" i="9"/>
  <c r="AL26" i="9"/>
  <c r="AG33" i="23"/>
  <c r="W32" i="12" s="1"/>
  <c r="BX25" i="9"/>
  <c r="BY25" i="9" s="1"/>
  <c r="S25" i="11" s="1"/>
  <c r="P25" i="11" s="1"/>
  <c r="X27" i="9"/>
  <c r="L27" i="8" s="1"/>
  <c r="AJ28" i="23"/>
  <c r="AK28" i="23" s="1"/>
  <c r="W27" i="9"/>
  <c r="BB27" i="9" s="1"/>
  <c r="E31" i="12"/>
  <c r="G31" i="9"/>
  <c r="G31" i="3"/>
  <c r="N31" i="3" s="1"/>
  <c r="G32" i="12"/>
  <c r="R30" i="9"/>
  <c r="AC43" i="23"/>
  <c r="U44" i="23"/>
  <c r="AB40" i="22"/>
  <c r="A39" i="6"/>
  <c r="T41" i="22"/>
  <c r="U42" i="22"/>
  <c r="P41" i="6" s="1"/>
  <c r="AC41" i="22"/>
  <c r="P29" i="12"/>
  <c r="K30" i="12"/>
  <c r="B30" i="3"/>
  <c r="P31" i="12"/>
  <c r="B31" i="3"/>
  <c r="K31" i="12"/>
  <c r="AC30" i="3"/>
  <c r="AI30" i="3" s="1"/>
  <c r="AD23" i="8"/>
  <c r="T23" i="3" s="1"/>
  <c r="W23" i="3" s="1"/>
  <c r="AL23" i="3" s="1"/>
  <c r="AX23" i="3" s="1"/>
  <c r="V25" i="9"/>
  <c r="BA25" i="9" s="1"/>
  <c r="BC25" i="9" s="1"/>
  <c r="BQ25" i="9" s="1"/>
  <c r="BR25" i="9" s="1"/>
  <c r="T25" i="9"/>
  <c r="W25" i="8" s="1"/>
  <c r="Z23" i="8"/>
  <c r="AE23" i="8" s="1"/>
  <c r="V23" i="3" s="1"/>
  <c r="Y23" i="3" s="1"/>
  <c r="AR23" i="3" s="1"/>
  <c r="BF23" i="3" s="1"/>
  <c r="BG23" i="3" s="1"/>
  <c r="W23" i="11" s="1"/>
  <c r="BB23" i="3"/>
  <c r="BC23" i="3" s="1"/>
  <c r="X23" i="11" s="1"/>
  <c r="S25" i="9"/>
  <c r="K25" i="8" s="1"/>
  <c r="N25" i="8" s="1"/>
  <c r="O25" i="8" s="1"/>
  <c r="P25" i="8" s="1"/>
  <c r="S33" i="6"/>
  <c r="R33" i="6" s="1"/>
  <c r="AA34" i="17" s="1"/>
  <c r="U25" i="9"/>
  <c r="AZ25" i="9" s="1"/>
  <c r="BM25" i="9" s="1"/>
  <c r="BN25" i="9" s="1"/>
  <c r="AN22" i="3"/>
  <c r="AX22" i="3"/>
  <c r="P25" i="9"/>
  <c r="BU23" i="9"/>
  <c r="R23" i="11" s="1"/>
  <c r="AZ25" i="3"/>
  <c r="BA25" i="3" s="1"/>
  <c r="Z25" i="11" s="1"/>
  <c r="H27" i="3"/>
  <c r="M27" i="3" s="1"/>
  <c r="M27" i="9" s="1"/>
  <c r="Q27" i="3"/>
  <c r="O27" i="3"/>
  <c r="K26" i="3"/>
  <c r="Q32" i="6"/>
  <c r="AD33" i="17" s="1"/>
  <c r="R32" i="6"/>
  <c r="AA33" i="17" s="1"/>
  <c r="M26" i="3"/>
  <c r="M26" i="9" s="1"/>
  <c r="T26" i="9" s="1"/>
  <c r="W26" i="8" s="1"/>
  <c r="Q28" i="3"/>
  <c r="AC34" i="6"/>
  <c r="Y34" i="6"/>
  <c r="U34" i="6"/>
  <c r="V34" i="6"/>
  <c r="Z34" i="6"/>
  <c r="W34" i="6"/>
  <c r="AB34" i="6"/>
  <c r="AA34" i="6"/>
  <c r="X34" i="6"/>
  <c r="T34" i="6"/>
  <c r="R26" i="3"/>
  <c r="AS26" i="3" s="1"/>
  <c r="S26" i="8"/>
  <c r="B28" i="9"/>
  <c r="AA30" i="7"/>
  <c r="J29" i="12" s="1"/>
  <c r="AG28" i="9"/>
  <c r="M28" i="12"/>
  <c r="O28" i="12"/>
  <c r="B28" i="12" s="1"/>
  <c r="AH28" i="9"/>
  <c r="AM28" i="9" s="1"/>
  <c r="X24" i="8"/>
  <c r="Y24" i="8" s="1"/>
  <c r="Z24" i="8" s="1"/>
  <c r="AE24" i="8" s="1"/>
  <c r="V24" i="3" s="1"/>
  <c r="Y24" i="3" s="1"/>
  <c r="AR24" i="3" s="1"/>
  <c r="BF24" i="3" s="1"/>
  <c r="BG24" i="3" s="1"/>
  <c r="W24" i="11" s="1"/>
  <c r="AC30" i="7"/>
  <c r="AD30" i="7"/>
  <c r="AZ26" i="3"/>
  <c r="BA26" i="3" s="1"/>
  <c r="Z26" i="11" s="1"/>
  <c r="BX26" i="9"/>
  <c r="C30" i="6"/>
  <c r="B30" i="6"/>
  <c r="M32" i="6"/>
  <c r="G32" i="6"/>
  <c r="F32" i="6"/>
  <c r="L32" i="6"/>
  <c r="J32" i="6"/>
  <c r="N32" i="6"/>
  <c r="K32" i="6"/>
  <c r="E32" i="6"/>
  <c r="H32" i="6"/>
  <c r="I32" i="6"/>
  <c r="P26" i="9"/>
  <c r="T27" i="8"/>
  <c r="D31" i="6"/>
  <c r="M32" i="8"/>
  <c r="AU32" i="3"/>
  <c r="AI23" i="8"/>
  <c r="Q23" i="12" s="1"/>
  <c r="AH24" i="8"/>
  <c r="AA24" i="9" s="1"/>
  <c r="AD24" i="9" s="1"/>
  <c r="AX24" i="9" s="1"/>
  <c r="AG24" i="8"/>
  <c r="Y24" i="9" s="1"/>
  <c r="AB24" i="9" s="1"/>
  <c r="AQ24" i="9" s="1"/>
  <c r="AS24" i="9" s="1"/>
  <c r="Q24" i="8"/>
  <c r="Q53" i="7"/>
  <c r="P53" i="7"/>
  <c r="O53" i="7"/>
  <c r="N53" i="7"/>
  <c r="Z24" i="9"/>
  <c r="AC24" i="9" s="1"/>
  <c r="AT24" i="9" s="1"/>
  <c r="AV24" i="9" s="1"/>
  <c r="BI23" i="9"/>
  <c r="BJ23" i="9" s="1"/>
  <c r="J29" i="3"/>
  <c r="A36" i="12"/>
  <c r="I30" i="12"/>
  <c r="H31" i="12"/>
  <c r="B32" i="5"/>
  <c r="AD33" i="23" s="1"/>
  <c r="T35" i="5"/>
  <c r="N35" i="5"/>
  <c r="J34" i="5"/>
  <c r="C34" i="5" s="1"/>
  <c r="P35" i="5"/>
  <c r="H33" i="5"/>
  <c r="I33" i="5"/>
  <c r="AI34" i="23" s="1"/>
  <c r="K35" i="5"/>
  <c r="A36" i="5"/>
  <c r="M36" i="5" s="1"/>
  <c r="S35" i="5"/>
  <c r="Q35" i="5"/>
  <c r="R35" i="5"/>
  <c r="O35" i="5"/>
  <c r="L35" i="5"/>
  <c r="F33" i="5"/>
  <c r="AF34" i="23" s="1"/>
  <c r="AO33" i="9" s="1"/>
  <c r="G33" i="5"/>
  <c r="C33" i="5"/>
  <c r="E33" i="5"/>
  <c r="AE34" i="23" s="1"/>
  <c r="D33" i="5"/>
  <c r="K30" i="9"/>
  <c r="L29" i="9"/>
  <c r="I30" i="3"/>
  <c r="F31" i="9"/>
  <c r="F31" i="3"/>
  <c r="A36" i="11"/>
  <c r="Z32" i="3"/>
  <c r="A35" i="8"/>
  <c r="AD32" i="3" l="1"/>
  <c r="AK34" i="8"/>
  <c r="AS35" i="8"/>
  <c r="AR35" i="8"/>
  <c r="AQ35" i="8"/>
  <c r="AP35" i="8"/>
  <c r="AO35" i="8"/>
  <c r="AT35" i="8"/>
  <c r="AL35" i="8"/>
  <c r="AU35" i="8"/>
  <c r="AN35" i="8"/>
  <c r="AM35" i="8"/>
  <c r="AV35" i="8"/>
  <c r="AW35" i="8"/>
  <c r="AX35" i="8"/>
  <c r="AY35" i="8"/>
  <c r="AZ35" i="8"/>
  <c r="BA35" i="8"/>
  <c r="BB35" i="8"/>
  <c r="BC35" i="8"/>
  <c r="BD35" i="8"/>
  <c r="BE35" i="8"/>
  <c r="BF35" i="8"/>
  <c r="B33" i="8"/>
  <c r="AJ33" i="8" s="1"/>
  <c r="C33" i="8"/>
  <c r="D33" i="8" s="1"/>
  <c r="G33" i="8"/>
  <c r="AH34" i="23"/>
  <c r="U33" i="12" s="1"/>
  <c r="AK30" i="3"/>
  <c r="AJ31" i="3"/>
  <c r="AY23" i="3"/>
  <c r="V23" i="11" s="1"/>
  <c r="BH23" i="3"/>
  <c r="BI23" i="3" s="1"/>
  <c r="AA23" i="11" s="1"/>
  <c r="H23" i="11" s="1"/>
  <c r="AY22" i="3"/>
  <c r="V22" i="11" s="1"/>
  <c r="BH22" i="3"/>
  <c r="BI22" i="3" s="1"/>
  <c r="AA22" i="11" s="1"/>
  <c r="H22" i="11" s="1"/>
  <c r="AK28" i="9"/>
  <c r="AJ28" i="9"/>
  <c r="AL27" i="9"/>
  <c r="AG34" i="23"/>
  <c r="W33" i="12" s="1"/>
  <c r="J28" i="9"/>
  <c r="AJ29" i="23" s="1"/>
  <c r="AK29" i="23" s="1"/>
  <c r="Q28" i="9"/>
  <c r="G32" i="3"/>
  <c r="N32" i="3" s="1"/>
  <c r="E32" i="12"/>
  <c r="G32" i="9"/>
  <c r="G33" i="12"/>
  <c r="R31" i="9"/>
  <c r="F33" i="12"/>
  <c r="E33" i="3"/>
  <c r="E33" i="9"/>
  <c r="A40" i="6"/>
  <c r="AB41" i="22"/>
  <c r="T42" i="22"/>
  <c r="AC44" i="23"/>
  <c r="U45" i="23"/>
  <c r="U43" i="22"/>
  <c r="P42" i="6" s="1"/>
  <c r="AC42" i="22"/>
  <c r="AU25" i="9"/>
  <c r="BV25" i="9" s="1"/>
  <c r="BW25" i="9" s="1"/>
  <c r="O25" i="11" s="1"/>
  <c r="AC31" i="3"/>
  <c r="AI31" i="3" s="1"/>
  <c r="AN23" i="3"/>
  <c r="P30" i="12"/>
  <c r="B32" i="3"/>
  <c r="K32" i="12"/>
  <c r="AC32" i="3"/>
  <c r="B33" i="3"/>
  <c r="K33" i="12"/>
  <c r="Q33" i="6"/>
  <c r="AD34" i="17" s="1"/>
  <c r="V25" i="8"/>
  <c r="X25" i="8" s="1"/>
  <c r="Y25" i="8" s="1"/>
  <c r="AD25" i="8" s="1"/>
  <c r="T25" i="3" s="1"/>
  <c r="W25" i="3" s="1"/>
  <c r="AL25" i="3" s="1"/>
  <c r="J25" i="8"/>
  <c r="Q25" i="8" s="1"/>
  <c r="AR25" i="9"/>
  <c r="O27" i="9"/>
  <c r="U27" i="9"/>
  <c r="AZ27" i="9" s="1"/>
  <c r="BM27" i="9" s="1"/>
  <c r="L27" i="3"/>
  <c r="N27" i="9" s="1"/>
  <c r="S27" i="9"/>
  <c r="K27" i="8" s="1"/>
  <c r="N27" i="8" s="1"/>
  <c r="O27" i="8" s="1"/>
  <c r="P27" i="8" s="1"/>
  <c r="V27" i="9"/>
  <c r="BA27" i="9" s="1"/>
  <c r="BC27" i="9" s="1"/>
  <c r="BQ27" i="9" s="1"/>
  <c r="R27" i="3"/>
  <c r="AS27" i="3" s="1"/>
  <c r="K27" i="3"/>
  <c r="T27" i="9"/>
  <c r="W27" i="8" s="1"/>
  <c r="O28" i="3"/>
  <c r="H28" i="3"/>
  <c r="K28" i="3" s="1"/>
  <c r="S27" i="8"/>
  <c r="P28" i="3"/>
  <c r="O26" i="9"/>
  <c r="D26" i="11" s="1"/>
  <c r="AU26" i="9"/>
  <c r="BV26" i="9" s="1"/>
  <c r="V26" i="9"/>
  <c r="BA26" i="9" s="1"/>
  <c r="BC26" i="9" s="1"/>
  <c r="BQ26" i="9" s="1"/>
  <c r="U26" i="9"/>
  <c r="AZ26" i="9" s="1"/>
  <c r="BM26" i="9" s="1"/>
  <c r="H29" i="3"/>
  <c r="S26" i="9"/>
  <c r="K26" i="8" s="1"/>
  <c r="N26" i="8" s="1"/>
  <c r="O26" i="8" s="1"/>
  <c r="P26" i="8" s="1"/>
  <c r="AH26" i="8" s="1"/>
  <c r="AA26" i="9" s="1"/>
  <c r="AD26" i="9" s="1"/>
  <c r="AX26" i="9" s="1"/>
  <c r="AC35" i="6"/>
  <c r="Y35" i="6"/>
  <c r="W35" i="6"/>
  <c r="AB35" i="6"/>
  <c r="X35" i="6"/>
  <c r="V35" i="6"/>
  <c r="U35" i="6"/>
  <c r="T35" i="6"/>
  <c r="AA35" i="6"/>
  <c r="Z35" i="6"/>
  <c r="B29" i="9"/>
  <c r="S34" i="6"/>
  <c r="AA31" i="7"/>
  <c r="J30" i="12" s="1"/>
  <c r="AA24" i="8"/>
  <c r="AC24" i="8" s="1"/>
  <c r="U24" i="3" s="1"/>
  <c r="X24" i="3" s="1"/>
  <c r="AO24" i="3" s="1"/>
  <c r="AD31" i="7"/>
  <c r="AC31" i="7"/>
  <c r="M29" i="12"/>
  <c r="AG29" i="9"/>
  <c r="O29" i="12"/>
  <c r="B29" i="12" s="1"/>
  <c r="AH29" i="9"/>
  <c r="AM29" i="9" s="1"/>
  <c r="AD24" i="8"/>
  <c r="T24" i="3" s="1"/>
  <c r="W24" i="3" s="1"/>
  <c r="AL24" i="3" s="1"/>
  <c r="AX24" i="3" s="1"/>
  <c r="D32" i="6"/>
  <c r="H33" i="6"/>
  <c r="K33" i="6"/>
  <c r="N33" i="6"/>
  <c r="G33" i="6"/>
  <c r="L33" i="6"/>
  <c r="M33" i="6"/>
  <c r="I33" i="6"/>
  <c r="F33" i="6"/>
  <c r="E33" i="6"/>
  <c r="J33" i="6"/>
  <c r="B31" i="6"/>
  <c r="C31" i="6"/>
  <c r="BX27" i="9"/>
  <c r="AZ27" i="3"/>
  <c r="BA27" i="3" s="1"/>
  <c r="Z27" i="11" s="1"/>
  <c r="AH25" i="8"/>
  <c r="AA25" i="9" s="1"/>
  <c r="AD25" i="9" s="1"/>
  <c r="AX25" i="9" s="1"/>
  <c r="M33" i="8"/>
  <c r="AU33" i="3"/>
  <c r="K31" i="9"/>
  <c r="AI24" i="8"/>
  <c r="Q24" i="12" s="1"/>
  <c r="AG25" i="8"/>
  <c r="Y25" i="9" s="1"/>
  <c r="AB25" i="9" s="1"/>
  <c r="AQ25" i="9" s="1"/>
  <c r="Q54" i="7"/>
  <c r="N54" i="7"/>
  <c r="P54" i="7"/>
  <c r="O54" i="7"/>
  <c r="Q55" i="7"/>
  <c r="P55" i="7"/>
  <c r="N55" i="7"/>
  <c r="O55" i="7"/>
  <c r="BI24" i="9"/>
  <c r="BJ24" i="9" s="1"/>
  <c r="J30" i="3"/>
  <c r="L30" i="9"/>
  <c r="I31" i="12"/>
  <c r="A37" i="12"/>
  <c r="H32" i="12"/>
  <c r="F34" i="5"/>
  <c r="AF35" i="23" s="1"/>
  <c r="AO34" i="9" s="1"/>
  <c r="D34" i="5"/>
  <c r="B34" i="5" s="1"/>
  <c r="AD35" i="23" s="1"/>
  <c r="E34" i="5"/>
  <c r="AE35" i="23" s="1"/>
  <c r="G34" i="5"/>
  <c r="J35" i="5"/>
  <c r="S36" i="5"/>
  <c r="Q36" i="5"/>
  <c r="K36" i="5"/>
  <c r="O36" i="5"/>
  <c r="P36" i="5"/>
  <c r="R36" i="5"/>
  <c r="A37" i="5"/>
  <c r="P37" i="5" s="1"/>
  <c r="L36" i="5"/>
  <c r="N36" i="5"/>
  <c r="T36" i="5"/>
  <c r="H34" i="5"/>
  <c r="I34" i="5"/>
  <c r="AI35" i="23" s="1"/>
  <c r="B33" i="5"/>
  <c r="AD34" i="23" s="1"/>
  <c r="I31" i="3"/>
  <c r="F32" i="9"/>
  <c r="F32" i="3"/>
  <c r="A37" i="11"/>
  <c r="Z33" i="3"/>
  <c r="A36" i="8"/>
  <c r="AD33" i="3" l="1"/>
  <c r="AK35" i="8"/>
  <c r="AQ36" i="8"/>
  <c r="AP36" i="8"/>
  <c r="AO36" i="8"/>
  <c r="AN36" i="8"/>
  <c r="AU36" i="8"/>
  <c r="AM36" i="8"/>
  <c r="AR36" i="8"/>
  <c r="AS36" i="8"/>
  <c r="AL36" i="8"/>
  <c r="AT36" i="8"/>
  <c r="AV36" i="8"/>
  <c r="AW36" i="8"/>
  <c r="AX36" i="8"/>
  <c r="AY36" i="8"/>
  <c r="AZ36" i="8"/>
  <c r="BA36" i="8"/>
  <c r="BB36" i="8"/>
  <c r="BC36" i="8"/>
  <c r="BD36" i="8"/>
  <c r="BE36" i="8"/>
  <c r="BF36" i="8"/>
  <c r="B34" i="8"/>
  <c r="AJ34" i="8" s="1"/>
  <c r="G34" i="8"/>
  <c r="C34" i="8"/>
  <c r="D34" i="8" s="1"/>
  <c r="AH35" i="23"/>
  <c r="U34" i="12" s="1"/>
  <c r="T28" i="8"/>
  <c r="S28" i="8" s="1"/>
  <c r="AM28" i="3"/>
  <c r="AK31" i="3"/>
  <c r="AI32" i="3"/>
  <c r="AJ32" i="3"/>
  <c r="AY24" i="3"/>
  <c r="V24" i="11" s="1"/>
  <c r="BT25" i="9"/>
  <c r="BU25" i="9" s="1"/>
  <c r="R25" i="11" s="1"/>
  <c r="BK25" i="9"/>
  <c r="BL25" i="9" s="1"/>
  <c r="AL28" i="9"/>
  <c r="AJ29" i="9"/>
  <c r="AK29" i="9"/>
  <c r="AG35" i="23"/>
  <c r="W34" i="12" s="1"/>
  <c r="H28" i="8"/>
  <c r="I28" i="8" s="1"/>
  <c r="X28" i="9"/>
  <c r="L28" i="8" s="1"/>
  <c r="W28" i="9"/>
  <c r="BB28" i="9" s="1"/>
  <c r="J29" i="9"/>
  <c r="W29" i="9" s="1"/>
  <c r="BB29" i="9" s="1"/>
  <c r="Q29" i="9"/>
  <c r="E34" i="9"/>
  <c r="E34" i="3"/>
  <c r="F34" i="12"/>
  <c r="G33" i="3"/>
  <c r="N33" i="3" s="1"/>
  <c r="E33" i="12"/>
  <c r="G33" i="9"/>
  <c r="G34" i="3"/>
  <c r="E34" i="12"/>
  <c r="G34" i="9"/>
  <c r="R32" i="9"/>
  <c r="G34" i="12"/>
  <c r="AD34" i="3"/>
  <c r="AC45" i="23"/>
  <c r="U46" i="23"/>
  <c r="A41" i="6"/>
  <c r="AB42" i="22"/>
  <c r="T43" i="22"/>
  <c r="U44" i="22"/>
  <c r="P43" i="6" s="1"/>
  <c r="AC43" i="22"/>
  <c r="D27" i="11"/>
  <c r="P32" i="12"/>
  <c r="Z25" i="8"/>
  <c r="AE25" i="8" s="1"/>
  <c r="V25" i="3" s="1"/>
  <c r="Y25" i="3" s="1"/>
  <c r="AR25" i="3" s="1"/>
  <c r="BF25" i="3" s="1"/>
  <c r="BG25" i="3" s="1"/>
  <c r="W25" i="11" s="1"/>
  <c r="AA25" i="8"/>
  <c r="AC25" i="8" s="1"/>
  <c r="U25" i="3" s="1"/>
  <c r="X25" i="3" s="1"/>
  <c r="AO25" i="3" s="1"/>
  <c r="AS25" i="9"/>
  <c r="R25" i="8"/>
  <c r="AF25" i="8" s="1"/>
  <c r="Z25" i="9" s="1"/>
  <c r="AC25" i="9" s="1"/>
  <c r="AT25" i="9" s="1"/>
  <c r="AV25" i="9" s="1"/>
  <c r="BY27" i="9"/>
  <c r="S27" i="11" s="1"/>
  <c r="P27" i="11" s="1"/>
  <c r="BR27" i="9"/>
  <c r="BN27" i="9"/>
  <c r="AU27" i="9"/>
  <c r="BV27" i="9" s="1"/>
  <c r="BW27" i="9" s="1"/>
  <c r="O27" i="11" s="1"/>
  <c r="J27" i="8"/>
  <c r="AR27" i="9"/>
  <c r="P27" i="9"/>
  <c r="V27" i="8"/>
  <c r="X27" i="8" s="1"/>
  <c r="Y27" i="8" s="1"/>
  <c r="AD27" i="8" s="1"/>
  <c r="M28" i="3"/>
  <c r="M28" i="9" s="1"/>
  <c r="V28" i="9" s="1"/>
  <c r="BA28" i="9" s="1"/>
  <c r="R28" i="3"/>
  <c r="AS28" i="3" s="1"/>
  <c r="L28" i="3"/>
  <c r="N28" i="9" s="1"/>
  <c r="P28" i="9" s="1"/>
  <c r="J26" i="8"/>
  <c r="R26" i="8" s="1"/>
  <c r="AF26" i="8" s="1"/>
  <c r="Z26" i="9" s="1"/>
  <c r="AC26" i="9" s="1"/>
  <c r="AT26" i="9" s="1"/>
  <c r="AV26" i="9" s="1"/>
  <c r="H30" i="3"/>
  <c r="K30" i="3" s="1"/>
  <c r="BW26" i="9"/>
  <c r="O26" i="11" s="1"/>
  <c r="BN26" i="9"/>
  <c r="BR26" i="9"/>
  <c r="Q29" i="3"/>
  <c r="BY26" i="9"/>
  <c r="S26" i="11" s="1"/>
  <c r="P26" i="11" s="1"/>
  <c r="AR26" i="9"/>
  <c r="V26" i="8"/>
  <c r="X26" i="8" s="1"/>
  <c r="Y26" i="8" s="1"/>
  <c r="AD26" i="8" s="1"/>
  <c r="T26" i="3" s="1"/>
  <c r="W26" i="3" s="1"/>
  <c r="AL26" i="3" s="1"/>
  <c r="S35" i="6"/>
  <c r="R34" i="6"/>
  <c r="AA35" i="17" s="1"/>
  <c r="Q34" i="6"/>
  <c r="AD35" i="17" s="1"/>
  <c r="O29" i="3"/>
  <c r="X36" i="6"/>
  <c r="AB36" i="6"/>
  <c r="Y36" i="6"/>
  <c r="AA36" i="6"/>
  <c r="V36" i="6"/>
  <c r="U36" i="6"/>
  <c r="W36" i="6"/>
  <c r="T36" i="6"/>
  <c r="AC36" i="6"/>
  <c r="Z36" i="6"/>
  <c r="P29" i="3"/>
  <c r="AM29" i="3" s="1"/>
  <c r="B30" i="9"/>
  <c r="AA32" i="7"/>
  <c r="J31" i="12" s="1"/>
  <c r="AN24" i="3"/>
  <c r="BB24" i="3"/>
  <c r="BC24" i="3" s="1"/>
  <c r="X24" i="11" s="1"/>
  <c r="AD32" i="7"/>
  <c r="AC32" i="7"/>
  <c r="M30" i="12"/>
  <c r="AG30" i="9"/>
  <c r="AH30" i="9"/>
  <c r="AM30" i="9" s="1"/>
  <c r="O30" i="12"/>
  <c r="B30" i="12" s="1"/>
  <c r="L29" i="3"/>
  <c r="N29" i="9" s="1"/>
  <c r="R29" i="3"/>
  <c r="AS29" i="3" s="1"/>
  <c r="K29" i="3"/>
  <c r="D33" i="6"/>
  <c r="M29" i="3"/>
  <c r="M29" i="9" s="1"/>
  <c r="B32" i="6"/>
  <c r="C32" i="6"/>
  <c r="I34" i="6"/>
  <c r="K34" i="6"/>
  <c r="L34" i="6"/>
  <c r="M34" i="6"/>
  <c r="E34" i="6"/>
  <c r="G34" i="6"/>
  <c r="J34" i="6"/>
  <c r="H34" i="6"/>
  <c r="N34" i="6"/>
  <c r="F34" i="6"/>
  <c r="M34" i="8"/>
  <c r="AU34" i="3"/>
  <c r="AN25" i="3"/>
  <c r="AX25" i="3"/>
  <c r="L31" i="9"/>
  <c r="AG26" i="8"/>
  <c r="Y26" i="9" s="1"/>
  <c r="AB26" i="9" s="1"/>
  <c r="AQ26" i="9" s="1"/>
  <c r="AH27" i="8"/>
  <c r="AA27" i="9" s="1"/>
  <c r="AD27" i="9" s="1"/>
  <c r="AX27" i="9" s="1"/>
  <c r="Q56" i="7"/>
  <c r="N56" i="7"/>
  <c r="P56" i="7"/>
  <c r="O56" i="7"/>
  <c r="J31" i="3"/>
  <c r="K32" i="9"/>
  <c r="A38" i="12"/>
  <c r="I32" i="12"/>
  <c r="H33" i="12"/>
  <c r="L37" i="5"/>
  <c r="O37" i="5"/>
  <c r="M37" i="5"/>
  <c r="T37" i="5"/>
  <c r="A38" i="5"/>
  <c r="Q38" i="5" s="1"/>
  <c r="N37" i="5"/>
  <c r="K37" i="5"/>
  <c r="R37" i="5"/>
  <c r="Q37" i="5"/>
  <c r="S37" i="5"/>
  <c r="I32" i="3"/>
  <c r="E35" i="5"/>
  <c r="AE36" i="23" s="1"/>
  <c r="F35" i="5"/>
  <c r="AF36" i="23" s="1"/>
  <c r="AO35" i="9" s="1"/>
  <c r="H35" i="5"/>
  <c r="D35" i="5"/>
  <c r="G35" i="5"/>
  <c r="C35" i="5"/>
  <c r="J36" i="5"/>
  <c r="I36" i="5" s="1"/>
  <c r="AI37" i="23" s="1"/>
  <c r="I35" i="5"/>
  <c r="AI36" i="23" s="1"/>
  <c r="F33" i="9"/>
  <c r="F33" i="3"/>
  <c r="A38" i="11"/>
  <c r="Z34" i="3"/>
  <c r="A37" i="8"/>
  <c r="AK36" i="8" l="1"/>
  <c r="AO37" i="8"/>
  <c r="AN37" i="8"/>
  <c r="AU37" i="8"/>
  <c r="AM37" i="8"/>
  <c r="AT37" i="8"/>
  <c r="AL37" i="8"/>
  <c r="AS37" i="8"/>
  <c r="AP37" i="8"/>
  <c r="AR37" i="8"/>
  <c r="AQ37" i="8"/>
  <c r="AV37" i="8"/>
  <c r="AW37" i="8"/>
  <c r="AX37" i="8"/>
  <c r="AY37" i="8"/>
  <c r="AZ37" i="8"/>
  <c r="BA37" i="8"/>
  <c r="BB37" i="8"/>
  <c r="BC37" i="8"/>
  <c r="BD37" i="8"/>
  <c r="BE37" i="8"/>
  <c r="BF37" i="8"/>
  <c r="B35" i="8"/>
  <c r="AJ35" i="8" s="1"/>
  <c r="C35" i="8"/>
  <c r="D35" i="8" s="1"/>
  <c r="G35" i="8"/>
  <c r="AH36" i="23"/>
  <c r="U35" i="12" s="1"/>
  <c r="AK32" i="3"/>
  <c r="AJ33" i="3"/>
  <c r="AY25" i="3"/>
  <c r="V25" i="11" s="1"/>
  <c r="BT26" i="9"/>
  <c r="BU26" i="9" s="1"/>
  <c r="R26" i="11" s="1"/>
  <c r="BK26" i="9"/>
  <c r="BL26" i="9" s="1"/>
  <c r="BT27" i="9"/>
  <c r="BU27" i="9" s="1"/>
  <c r="R27" i="11" s="1"/>
  <c r="BK27" i="9"/>
  <c r="BL27" i="9" s="1"/>
  <c r="BH24" i="3"/>
  <c r="BI24" i="3" s="1"/>
  <c r="AA24" i="11" s="1"/>
  <c r="H24" i="11" s="1"/>
  <c r="AJ30" i="9"/>
  <c r="AK30" i="9"/>
  <c r="AL29" i="9"/>
  <c r="AG36" i="23"/>
  <c r="W35" i="12" s="1"/>
  <c r="AZ28" i="3"/>
  <c r="BA28" i="3" s="1"/>
  <c r="Z28" i="11" s="1"/>
  <c r="BC28" i="9"/>
  <c r="BQ28" i="9" s="1"/>
  <c r="X29" i="9"/>
  <c r="L29" i="8" s="1"/>
  <c r="S29" i="9"/>
  <c r="AR29" i="9" s="1"/>
  <c r="AJ30" i="23"/>
  <c r="AK30" i="23" s="1"/>
  <c r="H29" i="8"/>
  <c r="I29" i="8" s="1"/>
  <c r="J30" i="9"/>
  <c r="Q30" i="9"/>
  <c r="F35" i="12"/>
  <c r="E35" i="3"/>
  <c r="E35" i="9"/>
  <c r="R33" i="9"/>
  <c r="G35" i="12"/>
  <c r="R34" i="9"/>
  <c r="A42" i="6"/>
  <c r="AB43" i="22"/>
  <c r="T44" i="22"/>
  <c r="AC46" i="23"/>
  <c r="U47" i="23"/>
  <c r="U45" i="22"/>
  <c r="P44" i="6" s="1"/>
  <c r="AC44" i="22"/>
  <c r="BB25" i="3"/>
  <c r="BC25" i="3" s="1"/>
  <c r="X25" i="11" s="1"/>
  <c r="P34" i="12"/>
  <c r="AC33" i="3"/>
  <c r="AI33" i="3" s="1"/>
  <c r="P33" i="12"/>
  <c r="K34" i="12"/>
  <c r="B34" i="3"/>
  <c r="BI25" i="9"/>
  <c r="BJ25" i="9" s="1"/>
  <c r="AI25" i="8"/>
  <c r="Q25" i="12" s="1"/>
  <c r="S36" i="6"/>
  <c r="Q36" i="6" s="1"/>
  <c r="AD37" i="17" s="1"/>
  <c r="O28" i="9"/>
  <c r="D28" i="11" s="1"/>
  <c r="Q26" i="8"/>
  <c r="T28" i="9"/>
  <c r="W28" i="8" s="1"/>
  <c r="S28" i="9"/>
  <c r="K28" i="8" s="1"/>
  <c r="N28" i="8" s="1"/>
  <c r="O28" i="8" s="1"/>
  <c r="P28" i="8" s="1"/>
  <c r="U28" i="9"/>
  <c r="AZ28" i="9" s="1"/>
  <c r="BM28" i="9" s="1"/>
  <c r="Q30" i="3"/>
  <c r="P30" i="3"/>
  <c r="O30" i="3"/>
  <c r="BX28" i="9"/>
  <c r="T29" i="8"/>
  <c r="S29" i="8" s="1"/>
  <c r="Z26" i="8"/>
  <c r="AE26" i="8" s="1"/>
  <c r="V26" i="3" s="1"/>
  <c r="Y26" i="3" s="1"/>
  <c r="AR26" i="3" s="1"/>
  <c r="BF26" i="3" s="1"/>
  <c r="BG26" i="3" s="1"/>
  <c r="W26" i="11" s="1"/>
  <c r="AS26" i="9"/>
  <c r="AA26" i="8"/>
  <c r="AC26" i="8" s="1"/>
  <c r="U26" i="3" s="1"/>
  <c r="X26" i="3" s="1"/>
  <c r="AO26" i="3" s="1"/>
  <c r="Q35" i="6"/>
  <c r="AD36" i="17" s="1"/>
  <c r="R35" i="6"/>
  <c r="AA36" i="17" s="1"/>
  <c r="B31" i="9"/>
  <c r="P31" i="3"/>
  <c r="AM31" i="3" s="1"/>
  <c r="AA37" i="6"/>
  <c r="AC37" i="6"/>
  <c r="W37" i="6"/>
  <c r="V37" i="6"/>
  <c r="Z37" i="6"/>
  <c r="T37" i="6"/>
  <c r="Y37" i="6"/>
  <c r="X37" i="6"/>
  <c r="AB37" i="6"/>
  <c r="U37" i="6"/>
  <c r="Z27" i="8"/>
  <c r="AE27" i="8" s="1"/>
  <c r="V27" i="3" s="1"/>
  <c r="Y27" i="3" s="1"/>
  <c r="AR27" i="3" s="1"/>
  <c r="BF27" i="3" s="1"/>
  <c r="BG27" i="3" s="1"/>
  <c r="W27" i="11" s="1"/>
  <c r="AA33" i="7"/>
  <c r="J32" i="12" s="1"/>
  <c r="AA27" i="8"/>
  <c r="AC27" i="8" s="1"/>
  <c r="U27" i="3" s="1"/>
  <c r="X27" i="3" s="1"/>
  <c r="AO27" i="3" s="1"/>
  <c r="M31" i="12"/>
  <c r="AG31" i="9"/>
  <c r="AD33" i="7"/>
  <c r="AC33" i="7"/>
  <c r="AH31" i="9"/>
  <c r="AM31" i="9" s="1"/>
  <c r="O31" i="12"/>
  <c r="B31" i="12" s="1"/>
  <c r="U29" i="9"/>
  <c r="AZ29" i="9" s="1"/>
  <c r="BM29" i="9" s="1"/>
  <c r="M30" i="3"/>
  <c r="M30" i="9" s="1"/>
  <c r="D34" i="6"/>
  <c r="C34" i="6" s="1"/>
  <c r="V29" i="9"/>
  <c r="BA29" i="9" s="1"/>
  <c r="BC29" i="9" s="1"/>
  <c r="BQ29" i="9" s="1"/>
  <c r="L30" i="3"/>
  <c r="N30" i="9" s="1"/>
  <c r="R30" i="3"/>
  <c r="AS30" i="3" s="1"/>
  <c r="B33" i="6"/>
  <c r="C33" i="6"/>
  <c r="O29" i="9"/>
  <c r="D29" i="11" s="1"/>
  <c r="T29" i="9"/>
  <c r="M35" i="6"/>
  <c r="I35" i="6"/>
  <c r="E35" i="6"/>
  <c r="K35" i="6"/>
  <c r="N35" i="6"/>
  <c r="H35" i="6"/>
  <c r="J35" i="6"/>
  <c r="F35" i="6"/>
  <c r="L35" i="6"/>
  <c r="G35" i="6"/>
  <c r="P29" i="9"/>
  <c r="M35" i="8"/>
  <c r="AU35" i="3"/>
  <c r="AN26" i="3"/>
  <c r="AX26" i="3"/>
  <c r="R27" i="8"/>
  <c r="AF27" i="8" s="1"/>
  <c r="Z27" i="9" s="1"/>
  <c r="AC27" i="9" s="1"/>
  <c r="AT27" i="9" s="1"/>
  <c r="AV27" i="9" s="1"/>
  <c r="Q27" i="8"/>
  <c r="AG27" i="8"/>
  <c r="Y27" i="9" s="1"/>
  <c r="AB27" i="9" s="1"/>
  <c r="AQ27" i="9" s="1"/>
  <c r="AS27" i="9" s="1"/>
  <c r="AI26" i="8"/>
  <c r="Q26" i="12" s="1"/>
  <c r="T27" i="3"/>
  <c r="W27" i="3" s="1"/>
  <c r="AL27" i="3" s="1"/>
  <c r="BI26" i="9"/>
  <c r="BJ26" i="9" s="1"/>
  <c r="L32" i="9"/>
  <c r="J32" i="3"/>
  <c r="A39" i="12"/>
  <c r="I33" i="12"/>
  <c r="H34" i="12"/>
  <c r="K33" i="9"/>
  <c r="N34" i="3"/>
  <c r="N38" i="5"/>
  <c r="J37" i="5"/>
  <c r="H37" i="5" s="1"/>
  <c r="T38" i="5"/>
  <c r="O38" i="5"/>
  <c r="K38" i="5"/>
  <c r="R38" i="5"/>
  <c r="S38" i="5"/>
  <c r="B35" i="5"/>
  <c r="AD36" i="23" s="1"/>
  <c r="A39" i="5"/>
  <c r="O39" i="5" s="1"/>
  <c r="P38" i="5"/>
  <c r="L38" i="5"/>
  <c r="M38" i="5"/>
  <c r="G36" i="5"/>
  <c r="E36" i="5"/>
  <c r="AE37" i="23" s="1"/>
  <c r="H36" i="5"/>
  <c r="C36" i="5"/>
  <c r="D36" i="5"/>
  <c r="F36" i="5"/>
  <c r="AF37" i="23" s="1"/>
  <c r="AO36" i="9" s="1"/>
  <c r="I33" i="3"/>
  <c r="F34" i="9"/>
  <c r="K34" i="9" s="1"/>
  <c r="F34" i="3"/>
  <c r="I34" i="3" s="1"/>
  <c r="A39" i="11"/>
  <c r="Z35" i="3"/>
  <c r="A38" i="8"/>
  <c r="AU38" i="8" l="1"/>
  <c r="AM38" i="8"/>
  <c r="AT38" i="8"/>
  <c r="AL38" i="8"/>
  <c r="AS38" i="8"/>
  <c r="AR38" i="8"/>
  <c r="AQ38" i="8"/>
  <c r="AN38" i="8"/>
  <c r="AP38" i="8"/>
  <c r="AO38" i="8"/>
  <c r="AV38" i="8"/>
  <c r="AW38" i="8"/>
  <c r="AX38" i="8"/>
  <c r="AY38" i="8"/>
  <c r="AZ38" i="8"/>
  <c r="BA38" i="8"/>
  <c r="BB38" i="8"/>
  <c r="BC38" i="8"/>
  <c r="BD38" i="8"/>
  <c r="BE38" i="8"/>
  <c r="BF38" i="8"/>
  <c r="AK37" i="8"/>
  <c r="B36" i="8"/>
  <c r="AJ36" i="8" s="1"/>
  <c r="G36" i="8"/>
  <c r="C36" i="8"/>
  <c r="D36" i="8" s="1"/>
  <c r="AD35" i="3"/>
  <c r="AH37" i="23"/>
  <c r="U36" i="12" s="1"/>
  <c r="AH38" i="23"/>
  <c r="U37" i="12" s="1"/>
  <c r="T30" i="8"/>
  <c r="S30" i="8" s="1"/>
  <c r="AM30" i="3"/>
  <c r="AK33" i="3"/>
  <c r="AJ34" i="3"/>
  <c r="BH25" i="3"/>
  <c r="BI25" i="3" s="1"/>
  <c r="AA25" i="11" s="1"/>
  <c r="H25" i="11" s="1"/>
  <c r="AY26" i="3"/>
  <c r="V26" i="11" s="1"/>
  <c r="BT29" i="9"/>
  <c r="BU29" i="9" s="1"/>
  <c r="R29" i="11" s="1"/>
  <c r="AK31" i="9"/>
  <c r="AJ31" i="9"/>
  <c r="AL30" i="9"/>
  <c r="AG37" i="23"/>
  <c r="W36" i="12" s="1"/>
  <c r="AZ29" i="3"/>
  <c r="BA29" i="3" s="1"/>
  <c r="Z29" i="11" s="1"/>
  <c r="BX29" i="9"/>
  <c r="BY29" i="9" s="1"/>
  <c r="S29" i="11" s="1"/>
  <c r="P29" i="11" s="1"/>
  <c r="K29" i="8"/>
  <c r="N29" i="8" s="1"/>
  <c r="O29" i="8" s="1"/>
  <c r="P29" i="8" s="1"/>
  <c r="O30" i="9"/>
  <c r="D30" i="11" s="1"/>
  <c r="X30" i="9"/>
  <c r="L30" i="8" s="1"/>
  <c r="W30" i="9"/>
  <c r="BB30" i="9" s="1"/>
  <c r="AJ31" i="23"/>
  <c r="AK31" i="23" s="1"/>
  <c r="H30" i="8"/>
  <c r="I30" i="8" s="1"/>
  <c r="J31" i="9"/>
  <c r="AJ32" i="23" s="1"/>
  <c r="AK32" i="23" s="1"/>
  <c r="Q31" i="9"/>
  <c r="G36" i="12"/>
  <c r="AD37" i="3"/>
  <c r="G35" i="9"/>
  <c r="E35" i="12"/>
  <c r="G35" i="3"/>
  <c r="N35" i="3" s="1"/>
  <c r="F36" i="12"/>
  <c r="E36" i="9"/>
  <c r="E36" i="3"/>
  <c r="AC47" i="23"/>
  <c r="U48" i="23"/>
  <c r="A43" i="6"/>
  <c r="AB44" i="22"/>
  <c r="T45" i="22"/>
  <c r="U46" i="22"/>
  <c r="P45" i="6" s="1"/>
  <c r="AC45" i="22"/>
  <c r="R36" i="6"/>
  <c r="AA37" i="17" s="1"/>
  <c r="K36" i="12" s="1"/>
  <c r="AC34" i="3"/>
  <c r="AI34" i="3" s="1"/>
  <c r="P35" i="12"/>
  <c r="AC36" i="3"/>
  <c r="K35" i="12"/>
  <c r="B35" i="3"/>
  <c r="BR28" i="9"/>
  <c r="BN28" i="9"/>
  <c r="BY28" i="9"/>
  <c r="S28" i="11" s="1"/>
  <c r="P28" i="11" s="1"/>
  <c r="AU28" i="9"/>
  <c r="BV28" i="9" s="1"/>
  <c r="BW28" i="9" s="1"/>
  <c r="O28" i="11" s="1"/>
  <c r="S37" i="6"/>
  <c r="R37" i="6" s="1"/>
  <c r="AA38" i="17" s="1"/>
  <c r="J28" i="8"/>
  <c r="R28" i="8" s="1"/>
  <c r="AF28" i="8" s="1"/>
  <c r="Z28" i="9" s="1"/>
  <c r="AC28" i="9" s="1"/>
  <c r="AT28" i="9" s="1"/>
  <c r="V28" i="8"/>
  <c r="X28" i="8" s="1"/>
  <c r="Y28" i="8" s="1"/>
  <c r="AA28" i="8" s="1"/>
  <c r="AC28" i="8" s="1"/>
  <c r="U28" i="3" s="1"/>
  <c r="X28" i="3" s="1"/>
  <c r="AO28" i="3" s="1"/>
  <c r="AR28" i="9"/>
  <c r="W29" i="8"/>
  <c r="BB26" i="3"/>
  <c r="BC26" i="3" s="1"/>
  <c r="X26" i="11" s="1"/>
  <c r="Q31" i="3"/>
  <c r="H31" i="3"/>
  <c r="K31" i="3" s="1"/>
  <c r="O31" i="3"/>
  <c r="AC38" i="6"/>
  <c r="X38" i="6"/>
  <c r="V38" i="6"/>
  <c r="U38" i="6"/>
  <c r="AB38" i="6"/>
  <c r="AA38" i="6"/>
  <c r="T38" i="6"/>
  <c r="Z38" i="6"/>
  <c r="Y38" i="6"/>
  <c r="W38" i="6"/>
  <c r="B32" i="9"/>
  <c r="Q32" i="3"/>
  <c r="AA34" i="7"/>
  <c r="B33" i="9" s="1"/>
  <c r="AA35" i="7"/>
  <c r="B34" i="9" s="1"/>
  <c r="V30" i="9"/>
  <c r="BA30" i="9" s="1"/>
  <c r="U30" i="9"/>
  <c r="AZ30" i="9" s="1"/>
  <c r="BM30" i="9" s="1"/>
  <c r="T30" i="9"/>
  <c r="S30" i="9"/>
  <c r="K30" i="8" s="1"/>
  <c r="N30" i="8" s="1"/>
  <c r="O30" i="8" s="1"/>
  <c r="P30" i="8" s="1"/>
  <c r="AC34" i="7"/>
  <c r="AD34" i="7"/>
  <c r="AG32" i="9"/>
  <c r="M32" i="12"/>
  <c r="O32" i="12"/>
  <c r="B32" i="12" s="1"/>
  <c r="AH32" i="9"/>
  <c r="AM32" i="9" s="1"/>
  <c r="AU29" i="9"/>
  <c r="BK29" i="9" s="1"/>
  <c r="BL29" i="9" s="1"/>
  <c r="B34" i="6"/>
  <c r="P30" i="9"/>
  <c r="T31" i="8"/>
  <c r="BR29" i="9"/>
  <c r="M36" i="6"/>
  <c r="H36" i="6"/>
  <c r="L36" i="6"/>
  <c r="K36" i="6"/>
  <c r="E36" i="6"/>
  <c r="F36" i="6"/>
  <c r="G36" i="6"/>
  <c r="N36" i="6"/>
  <c r="I36" i="6"/>
  <c r="J36" i="6"/>
  <c r="BN29" i="9"/>
  <c r="D35" i="6"/>
  <c r="M36" i="8"/>
  <c r="AU36" i="3"/>
  <c r="AN27" i="3"/>
  <c r="AX27" i="3"/>
  <c r="BB27" i="3"/>
  <c r="BC27" i="3" s="1"/>
  <c r="X27" i="11" s="1"/>
  <c r="AI27" i="8"/>
  <c r="Q27" i="12" s="1"/>
  <c r="AH28" i="8"/>
  <c r="AA28" i="9" s="1"/>
  <c r="AD28" i="9" s="1"/>
  <c r="AX28" i="9" s="1"/>
  <c r="AG28" i="8"/>
  <c r="Y28" i="9" s="1"/>
  <c r="AB28" i="9" s="1"/>
  <c r="AQ28" i="9" s="1"/>
  <c r="N58" i="7"/>
  <c r="O58" i="7"/>
  <c r="P58" i="7"/>
  <c r="Q58" i="7"/>
  <c r="Q57" i="7"/>
  <c r="P57" i="7"/>
  <c r="N57" i="7"/>
  <c r="O57" i="7"/>
  <c r="BI27" i="9"/>
  <c r="BJ27" i="9" s="1"/>
  <c r="E37" i="5"/>
  <c r="AE38" i="23" s="1"/>
  <c r="J34" i="3"/>
  <c r="L33" i="9"/>
  <c r="J33" i="3"/>
  <c r="A40" i="12"/>
  <c r="I34" i="12"/>
  <c r="C37" i="5"/>
  <c r="H35" i="12"/>
  <c r="G37" i="5"/>
  <c r="D37" i="5"/>
  <c r="F37" i="5"/>
  <c r="AF38" i="23" s="1"/>
  <c r="AO37" i="9" s="1"/>
  <c r="R39" i="5"/>
  <c r="I37" i="5"/>
  <c r="AI38" i="23" s="1"/>
  <c r="S39" i="5"/>
  <c r="M39" i="5"/>
  <c r="J38" i="5"/>
  <c r="H38" i="5" s="1"/>
  <c r="L39" i="5"/>
  <c r="Q39" i="5"/>
  <c r="T39" i="5"/>
  <c r="K39" i="5"/>
  <c r="N39" i="5"/>
  <c r="A40" i="5"/>
  <c r="T40" i="5" s="1"/>
  <c r="P39" i="5"/>
  <c r="B36" i="5"/>
  <c r="AD37" i="23" s="1"/>
  <c r="L34" i="9"/>
  <c r="F35" i="3"/>
  <c r="F35" i="9"/>
  <c r="A40" i="11"/>
  <c r="Z36" i="3"/>
  <c r="A39" i="8"/>
  <c r="B37" i="8" l="1"/>
  <c r="AJ37" i="8" s="1"/>
  <c r="C37" i="8"/>
  <c r="D37" i="8" s="1"/>
  <c r="G37" i="8"/>
  <c r="AK38" i="8"/>
  <c r="AS39" i="8"/>
  <c r="AR39" i="8"/>
  <c r="AQ39" i="8"/>
  <c r="AP39" i="8"/>
  <c r="AO39" i="8"/>
  <c r="AT39" i="8"/>
  <c r="AL39" i="8"/>
  <c r="AU39" i="8"/>
  <c r="AN39" i="8"/>
  <c r="AM39" i="8"/>
  <c r="AV39" i="8"/>
  <c r="AW39" i="8"/>
  <c r="AX39" i="8"/>
  <c r="AY39" i="8"/>
  <c r="AZ39" i="8"/>
  <c r="BA39" i="8"/>
  <c r="BB39" i="8"/>
  <c r="BC39" i="8"/>
  <c r="BD39" i="8"/>
  <c r="BE39" i="8"/>
  <c r="BF39" i="8"/>
  <c r="AD36" i="3"/>
  <c r="AH39" i="23"/>
  <c r="U38" i="12" s="1"/>
  <c r="W30" i="8"/>
  <c r="AK34" i="3"/>
  <c r="AJ35" i="3"/>
  <c r="AY27" i="3"/>
  <c r="V27" i="11" s="1"/>
  <c r="BH27" i="3"/>
  <c r="BI27" i="3" s="1"/>
  <c r="AA27" i="11" s="1"/>
  <c r="H27" i="11" s="1"/>
  <c r="BT28" i="9"/>
  <c r="BU28" i="9" s="1"/>
  <c r="R28" i="11" s="1"/>
  <c r="BK28" i="9"/>
  <c r="BL28" i="9" s="1"/>
  <c r="BH26" i="3"/>
  <c r="BI26" i="3" s="1"/>
  <c r="AA26" i="11" s="1"/>
  <c r="H26" i="11" s="1"/>
  <c r="AL31" i="9"/>
  <c r="AK32" i="9"/>
  <c r="AJ32" i="9"/>
  <c r="J29" i="8"/>
  <c r="AG38" i="23"/>
  <c r="W37" i="12" s="1"/>
  <c r="V29" i="8"/>
  <c r="X29" i="8" s="1"/>
  <c r="Y29" i="8" s="1"/>
  <c r="AA29" i="8" s="1"/>
  <c r="AC29" i="8" s="1"/>
  <c r="BX30" i="9"/>
  <c r="BY30" i="9" s="1"/>
  <c r="S30" i="11" s="1"/>
  <c r="P30" i="11" s="1"/>
  <c r="BN30" i="9"/>
  <c r="W31" i="9"/>
  <c r="BB31" i="9" s="1"/>
  <c r="H31" i="8"/>
  <c r="I31" i="8" s="1"/>
  <c r="BC30" i="9"/>
  <c r="BQ30" i="9" s="1"/>
  <c r="BR30" i="9" s="1"/>
  <c r="X31" i="9"/>
  <c r="L31" i="8" s="1"/>
  <c r="J32" i="9"/>
  <c r="Q32" i="9"/>
  <c r="J34" i="9"/>
  <c r="AJ35" i="23" s="1"/>
  <c r="AK35" i="23" s="1"/>
  <c r="Q34" i="9"/>
  <c r="J33" i="9"/>
  <c r="H33" i="8" s="1"/>
  <c r="I33" i="8" s="1"/>
  <c r="Q33" i="9"/>
  <c r="R35" i="9"/>
  <c r="E37" i="9"/>
  <c r="E37" i="3"/>
  <c r="F37" i="12"/>
  <c r="G37" i="12"/>
  <c r="G36" i="3"/>
  <c r="N36" i="3" s="1"/>
  <c r="G36" i="9"/>
  <c r="E36" i="12"/>
  <c r="A44" i="6"/>
  <c r="AB45" i="22"/>
  <c r="T46" i="22"/>
  <c r="AC48" i="23"/>
  <c r="U49" i="23"/>
  <c r="U47" i="22"/>
  <c r="P46" i="6" s="1"/>
  <c r="AC46" i="22"/>
  <c r="Q37" i="6"/>
  <c r="B36" i="3"/>
  <c r="AZ30" i="3"/>
  <c r="BA30" i="3" s="1"/>
  <c r="Z30" i="11" s="1"/>
  <c r="AC35" i="3"/>
  <c r="AI35" i="3" s="1"/>
  <c r="P36" i="12"/>
  <c r="B37" i="3"/>
  <c r="K37" i="12"/>
  <c r="AV28" i="9"/>
  <c r="Q28" i="8"/>
  <c r="S38" i="6"/>
  <c r="R38" i="6" s="1"/>
  <c r="AA39" i="17" s="1"/>
  <c r="AS28" i="9"/>
  <c r="Z28" i="8"/>
  <c r="AE28" i="8" s="1"/>
  <c r="V28" i="3" s="1"/>
  <c r="Y28" i="3" s="1"/>
  <c r="AR28" i="3" s="1"/>
  <c r="BF28" i="3" s="1"/>
  <c r="BG28" i="3" s="1"/>
  <c r="W28" i="11" s="1"/>
  <c r="AD28" i="8"/>
  <c r="T28" i="3" s="1"/>
  <c r="W28" i="3" s="1"/>
  <c r="AL28" i="3" s="1"/>
  <c r="AX28" i="3" s="1"/>
  <c r="S31" i="8"/>
  <c r="L31" i="3"/>
  <c r="N31" i="9" s="1"/>
  <c r="R31" i="3"/>
  <c r="AS31" i="3" s="1"/>
  <c r="M31" i="3"/>
  <c r="M31" i="9" s="1"/>
  <c r="O31" i="9" s="1"/>
  <c r="D31" i="11" s="1"/>
  <c r="J33" i="12"/>
  <c r="P32" i="3"/>
  <c r="AM32" i="3" s="1"/>
  <c r="H32" i="3"/>
  <c r="K32" i="3" s="1"/>
  <c r="O32" i="3"/>
  <c r="Q33" i="3"/>
  <c r="AA39" i="6"/>
  <c r="Y39" i="6"/>
  <c r="AC39" i="6"/>
  <c r="Z39" i="6"/>
  <c r="X39" i="6"/>
  <c r="V39" i="6"/>
  <c r="AB39" i="6"/>
  <c r="T39" i="6"/>
  <c r="U39" i="6"/>
  <c r="W39" i="6"/>
  <c r="J34" i="12"/>
  <c r="Q34" i="3"/>
  <c r="AU30" i="9"/>
  <c r="BV30" i="9" s="1"/>
  <c r="BW30" i="9" s="1"/>
  <c r="O30" i="11" s="1"/>
  <c r="J30" i="8"/>
  <c r="Q30" i="8" s="1"/>
  <c r="V30" i="8"/>
  <c r="AR30" i="9"/>
  <c r="AD35" i="7"/>
  <c r="AC35" i="7"/>
  <c r="AH33" i="9"/>
  <c r="AM33" i="9" s="1"/>
  <c r="O33" i="12"/>
  <c r="B33" i="12" s="1"/>
  <c r="M33" i="12"/>
  <c r="AG33" i="9"/>
  <c r="BV29" i="9"/>
  <c r="F37" i="6"/>
  <c r="I37" i="6"/>
  <c r="J37" i="6"/>
  <c r="L37" i="6"/>
  <c r="G37" i="6"/>
  <c r="M37" i="6"/>
  <c r="K37" i="6"/>
  <c r="H37" i="6"/>
  <c r="N37" i="6"/>
  <c r="E37" i="6"/>
  <c r="C35" i="6"/>
  <c r="B35" i="6"/>
  <c r="D36" i="6"/>
  <c r="M37" i="8"/>
  <c r="AU37" i="3"/>
  <c r="BB28" i="3"/>
  <c r="BC28" i="3" s="1"/>
  <c r="X28" i="11" s="1"/>
  <c r="AI28" i="8"/>
  <c r="Q28" i="12" s="1"/>
  <c r="AG29" i="8"/>
  <c r="Y29" i="9" s="1"/>
  <c r="AB29" i="9" s="1"/>
  <c r="AQ29" i="9" s="1"/>
  <c r="AS29" i="9" s="1"/>
  <c r="BI28" i="9"/>
  <c r="BJ28" i="9" s="1"/>
  <c r="B37" i="5"/>
  <c r="AD38" i="23" s="1"/>
  <c r="A41" i="12"/>
  <c r="I35" i="12"/>
  <c r="H36" i="12"/>
  <c r="K35" i="9"/>
  <c r="Q40" i="5"/>
  <c r="F38" i="5"/>
  <c r="AF39" i="23" s="1"/>
  <c r="AO38" i="9" s="1"/>
  <c r="P40" i="5"/>
  <c r="G38" i="5"/>
  <c r="E38" i="5"/>
  <c r="AE39" i="23" s="1"/>
  <c r="D38" i="5"/>
  <c r="I38" i="5"/>
  <c r="AI39" i="23" s="1"/>
  <c r="N40" i="5"/>
  <c r="C38" i="5"/>
  <c r="J39" i="5"/>
  <c r="I39" i="5" s="1"/>
  <c r="AI40" i="23" s="1"/>
  <c r="L40" i="5"/>
  <c r="R40" i="5"/>
  <c r="M40" i="5"/>
  <c r="K40" i="5"/>
  <c r="A41" i="5"/>
  <c r="S41" i="5" s="1"/>
  <c r="O40" i="5"/>
  <c r="S40" i="5"/>
  <c r="F36" i="9"/>
  <c r="F36" i="3"/>
  <c r="I35" i="3"/>
  <c r="A41" i="11"/>
  <c r="Z37" i="3"/>
  <c r="A40" i="8"/>
  <c r="AD38" i="3" l="1"/>
  <c r="B38" i="8"/>
  <c r="AJ38" i="8" s="1"/>
  <c r="G38" i="8"/>
  <c r="C38" i="8"/>
  <c r="D38" i="8" s="1"/>
  <c r="AQ40" i="8"/>
  <c r="AP40" i="8"/>
  <c r="AO40" i="8"/>
  <c r="AN40" i="8"/>
  <c r="AU40" i="8"/>
  <c r="AM40" i="8"/>
  <c r="AR40" i="8"/>
  <c r="AT40" i="8"/>
  <c r="AS40" i="8"/>
  <c r="AL40" i="8"/>
  <c r="AV40" i="8"/>
  <c r="AW40" i="8"/>
  <c r="AX40" i="8"/>
  <c r="AY40" i="8"/>
  <c r="AZ40" i="8"/>
  <c r="BA40" i="8"/>
  <c r="BB40" i="8"/>
  <c r="BC40" i="8"/>
  <c r="BD40" i="8"/>
  <c r="BE40" i="8"/>
  <c r="BF40" i="8"/>
  <c r="AK40" i="8" s="1"/>
  <c r="AK39" i="8"/>
  <c r="X30" i="8"/>
  <c r="Y30" i="8" s="1"/>
  <c r="AA30" i="8" s="1"/>
  <c r="AC30" i="8" s="1"/>
  <c r="U30" i="3" s="1"/>
  <c r="X30" i="3" s="1"/>
  <c r="AO30" i="3" s="1"/>
  <c r="AK35" i="3"/>
  <c r="AI36" i="3"/>
  <c r="AJ36" i="3"/>
  <c r="AY28" i="3"/>
  <c r="V28" i="11" s="1"/>
  <c r="BH28" i="3"/>
  <c r="BI28" i="3" s="1"/>
  <c r="AA28" i="11" s="1"/>
  <c r="H28" i="11" s="1"/>
  <c r="BT30" i="9"/>
  <c r="BU30" i="9" s="1"/>
  <c r="R30" i="11" s="1"/>
  <c r="BK30" i="9"/>
  <c r="BL30" i="9" s="1"/>
  <c r="BW29" i="9"/>
  <c r="O29" i="11" s="1"/>
  <c r="AJ33" i="9"/>
  <c r="AK33" i="9"/>
  <c r="AL32" i="9"/>
  <c r="AG39" i="23"/>
  <c r="W38" i="12" s="1"/>
  <c r="W32" i="9"/>
  <c r="BB32" i="9" s="1"/>
  <c r="BX31" i="9"/>
  <c r="BY31" i="9" s="1"/>
  <c r="S31" i="11" s="1"/>
  <c r="P31" i="11" s="1"/>
  <c r="AZ31" i="3"/>
  <c r="BA31" i="3" s="1"/>
  <c r="Z31" i="11" s="1"/>
  <c r="H32" i="8"/>
  <c r="I32" i="8" s="1"/>
  <c r="AJ34" i="23"/>
  <c r="AK34" i="23" s="1"/>
  <c r="W33" i="9"/>
  <c r="BB33" i="9" s="1"/>
  <c r="X33" i="9"/>
  <c r="L33" i="8" s="1"/>
  <c r="X34" i="9"/>
  <c r="L34" i="8" s="1"/>
  <c r="X32" i="9"/>
  <c r="L32" i="8" s="1"/>
  <c r="AJ33" i="23"/>
  <c r="AK33" i="23" s="1"/>
  <c r="W34" i="9"/>
  <c r="BB34" i="9" s="1"/>
  <c r="H34" i="8"/>
  <c r="I34" i="8" s="1"/>
  <c r="E38" i="3"/>
  <c r="E38" i="9"/>
  <c r="F38" i="12"/>
  <c r="G38" i="12"/>
  <c r="E37" i="12"/>
  <c r="G37" i="3"/>
  <c r="N37" i="3" s="1"/>
  <c r="G37" i="9"/>
  <c r="R36" i="9"/>
  <c r="A45" i="6"/>
  <c r="AB46" i="22"/>
  <c r="T47" i="22"/>
  <c r="AC49" i="23"/>
  <c r="U50" i="23"/>
  <c r="U48" i="22"/>
  <c r="P47" i="6" s="1"/>
  <c r="AC47" i="22"/>
  <c r="AD38" i="17"/>
  <c r="AC37" i="3" s="1"/>
  <c r="Q38" i="6"/>
  <c r="K38" i="12"/>
  <c r="B38" i="3"/>
  <c r="AN28" i="3"/>
  <c r="AD29" i="8"/>
  <c r="T29" i="3" s="1"/>
  <c r="W29" i="3" s="1"/>
  <c r="AL29" i="3" s="1"/>
  <c r="Z29" i="8"/>
  <c r="AE29" i="8" s="1"/>
  <c r="V29" i="3" s="1"/>
  <c r="Y29" i="3" s="1"/>
  <c r="AR29" i="3" s="1"/>
  <c r="BF29" i="3" s="1"/>
  <c r="BG29" i="3" s="1"/>
  <c r="W29" i="11" s="1"/>
  <c r="T32" i="8"/>
  <c r="S32" i="8" s="1"/>
  <c r="P31" i="9"/>
  <c r="V31" i="9"/>
  <c r="BA31" i="9" s="1"/>
  <c r="BC31" i="9" s="1"/>
  <c r="BQ31" i="9" s="1"/>
  <c r="BR31" i="9" s="1"/>
  <c r="U31" i="9"/>
  <c r="AZ31" i="9" s="1"/>
  <c r="BM31" i="9" s="1"/>
  <c r="BN31" i="9" s="1"/>
  <c r="T31" i="9"/>
  <c r="W31" i="8" s="1"/>
  <c r="S31" i="9"/>
  <c r="K31" i="8" s="1"/>
  <c r="N31" i="8" s="1"/>
  <c r="O31" i="8" s="1"/>
  <c r="P31" i="8" s="1"/>
  <c r="AH31" i="8" s="1"/>
  <c r="AA31" i="9" s="1"/>
  <c r="AD31" i="9" s="1"/>
  <c r="AX31" i="9" s="1"/>
  <c r="M32" i="3"/>
  <c r="M32" i="9" s="1"/>
  <c r="T32" i="9" s="1"/>
  <c r="R32" i="3"/>
  <c r="AS32" i="3" s="1"/>
  <c r="L32" i="3"/>
  <c r="N32" i="9" s="1"/>
  <c r="P33" i="3"/>
  <c r="H33" i="3"/>
  <c r="K33" i="3" s="1"/>
  <c r="O33" i="3"/>
  <c r="X40" i="6"/>
  <c r="V40" i="6"/>
  <c r="AA40" i="6"/>
  <c r="Y40" i="6"/>
  <c r="U40" i="6"/>
  <c r="AB40" i="6"/>
  <c r="T40" i="6"/>
  <c r="AC40" i="6"/>
  <c r="W40" i="6"/>
  <c r="Z40" i="6"/>
  <c r="S39" i="6"/>
  <c r="P34" i="3"/>
  <c r="T34" i="8" s="1"/>
  <c r="S34" i="8" s="1"/>
  <c r="AA36" i="7"/>
  <c r="J35" i="12" s="1"/>
  <c r="H34" i="3"/>
  <c r="M34" i="3" s="1"/>
  <c r="M34" i="9" s="1"/>
  <c r="O34" i="3"/>
  <c r="AD36" i="7"/>
  <c r="AC36" i="7"/>
  <c r="AG34" i="9"/>
  <c r="M34" i="12"/>
  <c r="AH34" i="9"/>
  <c r="AM34" i="9" s="1"/>
  <c r="O34" i="12"/>
  <c r="B34" i="12" s="1"/>
  <c r="C36" i="6"/>
  <c r="B36" i="6"/>
  <c r="G38" i="6"/>
  <c r="I38" i="6"/>
  <c r="L38" i="6"/>
  <c r="K38" i="6"/>
  <c r="J38" i="6"/>
  <c r="F38" i="6"/>
  <c r="N38" i="6"/>
  <c r="H38" i="6"/>
  <c r="M38" i="6"/>
  <c r="E38" i="6"/>
  <c r="D37" i="6"/>
  <c r="M39" i="8"/>
  <c r="M38" i="8"/>
  <c r="AU38" i="3"/>
  <c r="R30" i="8"/>
  <c r="AF30" i="8" s="1"/>
  <c r="Z30" i="9" s="1"/>
  <c r="AC30" i="9" s="1"/>
  <c r="AT30" i="9" s="1"/>
  <c r="AV30" i="9" s="1"/>
  <c r="R29" i="8"/>
  <c r="AF29" i="8" s="1"/>
  <c r="Z29" i="9" s="1"/>
  <c r="AC29" i="9" s="1"/>
  <c r="AT29" i="9" s="1"/>
  <c r="AV29" i="9" s="1"/>
  <c r="Q29" i="8"/>
  <c r="AH29" i="8"/>
  <c r="AA29" i="9" s="1"/>
  <c r="AD29" i="9" s="1"/>
  <c r="AX29" i="9" s="1"/>
  <c r="AH30" i="8"/>
  <c r="AA30" i="9" s="1"/>
  <c r="AD30" i="9" s="1"/>
  <c r="AX30" i="9" s="1"/>
  <c r="AG30" i="8"/>
  <c r="Y30" i="9" s="1"/>
  <c r="AB30" i="9" s="1"/>
  <c r="AQ30" i="9" s="1"/>
  <c r="AS30" i="9" s="1"/>
  <c r="U29" i="3"/>
  <c r="X29" i="3" s="1"/>
  <c r="AO29" i="3" s="1"/>
  <c r="Q59" i="7"/>
  <c r="O59" i="7"/>
  <c r="N59" i="7"/>
  <c r="P59" i="7"/>
  <c r="Q60" i="7"/>
  <c r="O60" i="7"/>
  <c r="N60" i="7"/>
  <c r="P60" i="7"/>
  <c r="J35" i="3"/>
  <c r="L35" i="9"/>
  <c r="I36" i="12"/>
  <c r="A42" i="12"/>
  <c r="H37" i="12"/>
  <c r="D39" i="5"/>
  <c r="B38" i="5"/>
  <c r="AD39" i="23" s="1"/>
  <c r="C39" i="5"/>
  <c r="H39" i="5"/>
  <c r="F39" i="5"/>
  <c r="AF40" i="23" s="1"/>
  <c r="E39" i="5"/>
  <c r="AE40" i="23" s="1"/>
  <c r="G39" i="5"/>
  <c r="L41" i="5"/>
  <c r="T41" i="5"/>
  <c r="Q41" i="5"/>
  <c r="N41" i="5"/>
  <c r="A42" i="5"/>
  <c r="Q42" i="5" s="1"/>
  <c r="J40" i="5"/>
  <c r="H40" i="5" s="1"/>
  <c r="M41" i="5"/>
  <c r="R41" i="5"/>
  <c r="O41" i="5"/>
  <c r="K41" i="5"/>
  <c r="P41" i="5"/>
  <c r="K36" i="9"/>
  <c r="F37" i="3"/>
  <c r="F37" i="9"/>
  <c r="I36" i="3"/>
  <c r="A42" i="11"/>
  <c r="Z38" i="3"/>
  <c r="A41" i="8"/>
  <c r="B40" i="8" l="1"/>
  <c r="AJ40" i="8" s="1"/>
  <c r="G40" i="8"/>
  <c r="C40" i="8"/>
  <c r="D40" i="8" s="1"/>
  <c r="AO41" i="8"/>
  <c r="AN41" i="8"/>
  <c r="AU41" i="8"/>
  <c r="AM41" i="8"/>
  <c r="AT41" i="8"/>
  <c r="AL41" i="8"/>
  <c r="AS41" i="8"/>
  <c r="AP41" i="8"/>
  <c r="AR41" i="8"/>
  <c r="AQ41" i="8"/>
  <c r="AV41" i="8"/>
  <c r="AW41" i="8"/>
  <c r="AX41" i="8"/>
  <c r="AY41" i="8"/>
  <c r="AZ41" i="8"/>
  <c r="BA41" i="8"/>
  <c r="BB41" i="8"/>
  <c r="BC41" i="8"/>
  <c r="BD41" i="8"/>
  <c r="BE41" i="8"/>
  <c r="BF41" i="8"/>
  <c r="AK41" i="8" s="1"/>
  <c r="B39" i="8"/>
  <c r="AJ39" i="8" s="1"/>
  <c r="C39" i="8"/>
  <c r="D39" i="8" s="1"/>
  <c r="G39" i="8"/>
  <c r="Z30" i="8"/>
  <c r="AE30" i="8" s="1"/>
  <c r="V30" i="3" s="1"/>
  <c r="Y30" i="3" s="1"/>
  <c r="AR30" i="3" s="1"/>
  <c r="BF30" i="3" s="1"/>
  <c r="BG30" i="3" s="1"/>
  <c r="W30" i="11" s="1"/>
  <c r="AD30" i="8"/>
  <c r="T30" i="3" s="1"/>
  <c r="W30" i="3" s="1"/>
  <c r="AL30" i="3" s="1"/>
  <c r="AN30" i="3" s="1"/>
  <c r="AH41" i="23"/>
  <c r="U40" i="12" s="1"/>
  <c r="AH40" i="23"/>
  <c r="U39" i="12" s="1"/>
  <c r="T33" i="8"/>
  <c r="S33" i="8" s="1"/>
  <c r="AM33" i="3"/>
  <c r="BX33" i="9" s="1"/>
  <c r="AM34" i="3"/>
  <c r="AZ34" i="3" s="1"/>
  <c r="BA34" i="3" s="1"/>
  <c r="Z34" i="11" s="1"/>
  <c r="AK36" i="3"/>
  <c r="AI37" i="3"/>
  <c r="AJ37" i="3"/>
  <c r="AK34" i="9"/>
  <c r="AJ34" i="9"/>
  <c r="AL33" i="9"/>
  <c r="BX32" i="9"/>
  <c r="AG40" i="23"/>
  <c r="W39" i="12" s="1"/>
  <c r="AZ32" i="3"/>
  <c r="BA32" i="3" s="1"/>
  <c r="Z32" i="11" s="1"/>
  <c r="E39" i="3"/>
  <c r="E39" i="9"/>
  <c r="F39" i="12"/>
  <c r="R37" i="9"/>
  <c r="AO39" i="9"/>
  <c r="G39" i="12"/>
  <c r="E38" i="12"/>
  <c r="G38" i="9"/>
  <c r="G38" i="3"/>
  <c r="N38" i="3" s="1"/>
  <c r="K37" i="9"/>
  <c r="L37" i="9" s="1"/>
  <c r="AC50" i="23"/>
  <c r="U51" i="23"/>
  <c r="A46" i="6"/>
  <c r="AB47" i="22"/>
  <c r="T48" i="22"/>
  <c r="U49" i="22"/>
  <c r="P48" i="6" s="1"/>
  <c r="AC48" i="22"/>
  <c r="AD39" i="17"/>
  <c r="AC38" i="3" s="1"/>
  <c r="P37" i="12"/>
  <c r="AG31" i="8"/>
  <c r="Y31" i="9" s="1"/>
  <c r="AB31" i="9" s="1"/>
  <c r="AQ31" i="9" s="1"/>
  <c r="R33" i="3"/>
  <c r="AS33" i="3" s="1"/>
  <c r="L33" i="3"/>
  <c r="N33" i="9" s="1"/>
  <c r="P33" i="9" s="1"/>
  <c r="W32" i="8"/>
  <c r="J31" i="8"/>
  <c r="Q31" i="8" s="1"/>
  <c r="AU31" i="9"/>
  <c r="BV31" i="9" s="1"/>
  <c r="BW31" i="9" s="1"/>
  <c r="O31" i="11" s="1"/>
  <c r="O32" i="9"/>
  <c r="D32" i="11" s="1"/>
  <c r="V32" i="9"/>
  <c r="BA32" i="9" s="1"/>
  <c r="BC32" i="9" s="1"/>
  <c r="BQ32" i="9" s="1"/>
  <c r="U32" i="9"/>
  <c r="AZ32" i="9" s="1"/>
  <c r="BM32" i="9" s="1"/>
  <c r="AU32" i="9"/>
  <c r="BV32" i="9" s="1"/>
  <c r="V31" i="8"/>
  <c r="X31" i="8" s="1"/>
  <c r="Y31" i="8" s="1"/>
  <c r="Z31" i="8" s="1"/>
  <c r="AE31" i="8" s="1"/>
  <c r="V31" i="3" s="1"/>
  <c r="Y31" i="3" s="1"/>
  <c r="AR31" i="3" s="1"/>
  <c r="BF31" i="3" s="1"/>
  <c r="BG31" i="3" s="1"/>
  <c r="W31" i="11" s="1"/>
  <c r="P32" i="9"/>
  <c r="S32" i="9"/>
  <c r="K32" i="8" s="1"/>
  <c r="N32" i="8" s="1"/>
  <c r="O32" i="8" s="1"/>
  <c r="P32" i="8" s="1"/>
  <c r="AR31" i="9"/>
  <c r="M33" i="3"/>
  <c r="M33" i="9" s="1"/>
  <c r="O33" i="9" s="1"/>
  <c r="D33" i="11" s="1"/>
  <c r="Q35" i="3"/>
  <c r="Q39" i="6"/>
  <c r="AD40" i="17" s="1"/>
  <c r="R39" i="6"/>
  <c r="AA40" i="17" s="1"/>
  <c r="AB41" i="6"/>
  <c r="X41" i="6"/>
  <c r="U41" i="6"/>
  <c r="T41" i="6"/>
  <c r="AA41" i="6"/>
  <c r="AC41" i="6"/>
  <c r="Z41" i="6"/>
  <c r="Y41" i="6"/>
  <c r="V41" i="6"/>
  <c r="W41" i="6"/>
  <c r="B35" i="9"/>
  <c r="S40" i="6"/>
  <c r="U34" i="9"/>
  <c r="AZ34" i="9" s="1"/>
  <c r="BM34" i="9" s="1"/>
  <c r="T34" i="9"/>
  <c r="W34" i="8" s="1"/>
  <c r="K34" i="3"/>
  <c r="V34" i="9"/>
  <c r="BA34" i="9" s="1"/>
  <c r="BC34" i="9" s="1"/>
  <c r="BQ34" i="9" s="1"/>
  <c r="L34" i="3"/>
  <c r="N34" i="9" s="1"/>
  <c r="R34" i="3"/>
  <c r="AS34" i="3" s="1"/>
  <c r="S34" i="9"/>
  <c r="K34" i="8" s="1"/>
  <c r="N34" i="8" s="1"/>
  <c r="O34" i="8" s="1"/>
  <c r="P34" i="8" s="1"/>
  <c r="O34" i="9"/>
  <c r="D34" i="11" s="1"/>
  <c r="AA37" i="7"/>
  <c r="B36" i="9" s="1"/>
  <c r="AD37" i="7"/>
  <c r="AC37" i="7"/>
  <c r="M35" i="12"/>
  <c r="AG35" i="9"/>
  <c r="O35" i="12"/>
  <c r="B35" i="12" s="1"/>
  <c r="AH35" i="9"/>
  <c r="AM35" i="9" s="1"/>
  <c r="B37" i="6"/>
  <c r="C37" i="6"/>
  <c r="N39" i="6"/>
  <c r="H39" i="6"/>
  <c r="G39" i="6"/>
  <c r="L39" i="6"/>
  <c r="J39" i="6"/>
  <c r="E39" i="6"/>
  <c r="K39" i="6"/>
  <c r="M39" i="6"/>
  <c r="I39" i="6"/>
  <c r="F39" i="6"/>
  <c r="D38" i="6"/>
  <c r="AU39" i="3"/>
  <c r="AU40" i="3"/>
  <c r="BB29" i="3"/>
  <c r="BC29" i="3" s="1"/>
  <c r="X29" i="11" s="1"/>
  <c r="AN29" i="3"/>
  <c r="AX29" i="3"/>
  <c r="BB30" i="3"/>
  <c r="BC30" i="3" s="1"/>
  <c r="X30" i="11" s="1"/>
  <c r="AI29" i="8"/>
  <c r="Q29" i="12" s="1"/>
  <c r="AI30" i="8"/>
  <c r="Q30" i="12" s="1"/>
  <c r="Q61" i="7"/>
  <c r="P61" i="7"/>
  <c r="N61" i="7"/>
  <c r="O61" i="7"/>
  <c r="BI30" i="9"/>
  <c r="BJ30" i="9" s="1"/>
  <c r="BI29" i="9"/>
  <c r="BJ29" i="9" s="1"/>
  <c r="J36" i="3"/>
  <c r="L36" i="9"/>
  <c r="A43" i="12"/>
  <c r="I37" i="12"/>
  <c r="H38" i="12"/>
  <c r="B39" i="5"/>
  <c r="AD40" i="23" s="1"/>
  <c r="C40" i="5"/>
  <c r="M42" i="5"/>
  <c r="O42" i="5"/>
  <c r="T42" i="5"/>
  <c r="S42" i="5"/>
  <c r="G40" i="5"/>
  <c r="R42" i="5"/>
  <c r="P42" i="5"/>
  <c r="F40" i="5"/>
  <c r="AF41" i="23" s="1"/>
  <c r="AO40" i="9" s="1"/>
  <c r="K42" i="5"/>
  <c r="A43" i="5"/>
  <c r="K43" i="5" s="1"/>
  <c r="L42" i="5"/>
  <c r="N42" i="5"/>
  <c r="E40" i="5"/>
  <c r="AE41" i="23" s="1"/>
  <c r="I40" i="5"/>
  <c r="AI41" i="23" s="1"/>
  <c r="D40" i="5"/>
  <c r="J41" i="5"/>
  <c r="I41" i="5" s="1"/>
  <c r="AI42" i="23" s="1"/>
  <c r="I37" i="3"/>
  <c r="F38" i="9"/>
  <c r="F38" i="3"/>
  <c r="A43" i="11"/>
  <c r="Z39" i="3"/>
  <c r="A42" i="8"/>
  <c r="B41" i="8" l="1"/>
  <c r="AJ41" i="8" s="1"/>
  <c r="G41" i="8"/>
  <c r="C41" i="8"/>
  <c r="D41" i="8" s="1"/>
  <c r="AU42" i="8"/>
  <c r="AM42" i="8"/>
  <c r="AT42" i="8"/>
  <c r="AL42" i="8"/>
  <c r="AS42" i="8"/>
  <c r="AR42" i="8"/>
  <c r="AQ42" i="8"/>
  <c r="AN42" i="8"/>
  <c r="AP42" i="8"/>
  <c r="AO42" i="8"/>
  <c r="AV42" i="8"/>
  <c r="AW42" i="8"/>
  <c r="AX42" i="8"/>
  <c r="AY42" i="8"/>
  <c r="AZ42" i="8"/>
  <c r="BA42" i="8"/>
  <c r="BB42" i="8"/>
  <c r="BC42" i="8"/>
  <c r="BD42" i="8"/>
  <c r="BE42" i="8"/>
  <c r="BF42" i="8"/>
  <c r="AK42" i="8" s="1"/>
  <c r="AD40" i="3"/>
  <c r="AD39" i="3"/>
  <c r="AX30" i="3"/>
  <c r="AY30" i="3" s="1"/>
  <c r="V30" i="11" s="1"/>
  <c r="AK37" i="3"/>
  <c r="AI38" i="3"/>
  <c r="AJ38" i="3"/>
  <c r="BT31" i="9"/>
  <c r="BU31" i="9" s="1"/>
  <c r="R31" i="11" s="1"/>
  <c r="BK31" i="9"/>
  <c r="BL31" i="9" s="1"/>
  <c r="AY29" i="3"/>
  <c r="V29" i="11" s="1"/>
  <c r="BH29" i="3"/>
  <c r="BI29" i="3" s="1"/>
  <c r="AA29" i="11" s="1"/>
  <c r="H29" i="11" s="1"/>
  <c r="AL34" i="9"/>
  <c r="AU34" i="9" s="1"/>
  <c r="BV34" i="9" s="1"/>
  <c r="BW34" i="9" s="1"/>
  <c r="O34" i="11" s="1"/>
  <c r="AK35" i="9"/>
  <c r="AJ35" i="9"/>
  <c r="AG41" i="23"/>
  <c r="W40" i="12" s="1"/>
  <c r="J36" i="9"/>
  <c r="AJ37" i="23" s="1"/>
  <c r="AK37" i="23" s="1"/>
  <c r="Q36" i="9"/>
  <c r="J35" i="9"/>
  <c r="Q35" i="9"/>
  <c r="F40" i="12"/>
  <c r="E40" i="9"/>
  <c r="E40" i="3"/>
  <c r="E39" i="12"/>
  <c r="G39" i="9"/>
  <c r="G39" i="3"/>
  <c r="N39" i="3" s="1"/>
  <c r="R38" i="9"/>
  <c r="G40" i="12"/>
  <c r="A47" i="6"/>
  <c r="AB48" i="22"/>
  <c r="T49" i="22"/>
  <c r="AC51" i="23"/>
  <c r="U52" i="23"/>
  <c r="U50" i="22"/>
  <c r="P49" i="6" s="1"/>
  <c r="AC49" i="22"/>
  <c r="P38" i="12"/>
  <c r="P39" i="12"/>
  <c r="B39" i="3"/>
  <c r="K39" i="12"/>
  <c r="AZ33" i="3"/>
  <c r="BA33" i="3" s="1"/>
  <c r="Z33" i="11" s="1"/>
  <c r="V33" i="9"/>
  <c r="BA33" i="9" s="1"/>
  <c r="BC33" i="9" s="1"/>
  <c r="BQ33" i="9" s="1"/>
  <c r="BR33" i="9" s="1"/>
  <c r="BX34" i="9"/>
  <c r="BY34" i="9" s="1"/>
  <c r="S34" i="11" s="1"/>
  <c r="P34" i="11" s="1"/>
  <c r="BY33" i="9"/>
  <c r="S33" i="11" s="1"/>
  <c r="P33" i="11" s="1"/>
  <c r="H35" i="3"/>
  <c r="K35" i="3" s="1"/>
  <c r="V32" i="8"/>
  <c r="X32" i="8" s="1"/>
  <c r="Y32" i="8" s="1"/>
  <c r="AA32" i="8" s="1"/>
  <c r="AC32" i="8" s="1"/>
  <c r="U32" i="3" s="1"/>
  <c r="X32" i="3" s="1"/>
  <c r="AO32" i="3" s="1"/>
  <c r="O35" i="3"/>
  <c r="P35" i="3"/>
  <c r="BR32" i="9"/>
  <c r="BN32" i="9"/>
  <c r="R31" i="8"/>
  <c r="AF31" i="8" s="1"/>
  <c r="Z31" i="9" s="1"/>
  <c r="AC31" i="9" s="1"/>
  <c r="AT31" i="9" s="1"/>
  <c r="AV31" i="9" s="1"/>
  <c r="AA31" i="8"/>
  <c r="AC31" i="8" s="1"/>
  <c r="U31" i="3" s="1"/>
  <c r="X31" i="3" s="1"/>
  <c r="AO31" i="3" s="1"/>
  <c r="BY32" i="9"/>
  <c r="S32" i="11" s="1"/>
  <c r="P32" i="11" s="1"/>
  <c r="BW32" i="9"/>
  <c r="O32" i="11" s="1"/>
  <c r="BR34" i="9"/>
  <c r="J32" i="8"/>
  <c r="Q32" i="8" s="1"/>
  <c r="AD31" i="8"/>
  <c r="T31" i="3" s="1"/>
  <c r="W31" i="3" s="1"/>
  <c r="AL31" i="3" s="1"/>
  <c r="AN31" i="3" s="1"/>
  <c r="AR32" i="9"/>
  <c r="U33" i="9"/>
  <c r="AZ33" i="9" s="1"/>
  <c r="BM33" i="9" s="1"/>
  <c r="BN33" i="9" s="1"/>
  <c r="AS31" i="9"/>
  <c r="S33" i="9"/>
  <c r="K33" i="8" s="1"/>
  <c r="N33" i="8" s="1"/>
  <c r="O33" i="8" s="1"/>
  <c r="P33" i="8" s="1"/>
  <c r="T33" i="9"/>
  <c r="W33" i="8" s="1"/>
  <c r="H36" i="3"/>
  <c r="K36" i="3" s="1"/>
  <c r="BN34" i="9"/>
  <c r="AB42" i="6"/>
  <c r="AC42" i="6"/>
  <c r="Y42" i="6"/>
  <c r="Z42" i="6"/>
  <c r="V42" i="6"/>
  <c r="X42" i="6"/>
  <c r="W42" i="6"/>
  <c r="AA42" i="6"/>
  <c r="T42" i="6"/>
  <c r="U42" i="6"/>
  <c r="Q40" i="6"/>
  <c r="AD41" i="17" s="1"/>
  <c r="R40" i="6"/>
  <c r="AA41" i="17" s="1"/>
  <c r="S41" i="6"/>
  <c r="M41" i="8"/>
  <c r="J36" i="12"/>
  <c r="AA38" i="7"/>
  <c r="B37" i="9" s="1"/>
  <c r="J34" i="8"/>
  <c r="R34" i="8" s="1"/>
  <c r="AF34" i="8" s="1"/>
  <c r="V34" i="8"/>
  <c r="X34" i="8" s="1"/>
  <c r="Y34" i="8" s="1"/>
  <c r="AD34" i="8" s="1"/>
  <c r="P34" i="9"/>
  <c r="AR34" i="9"/>
  <c r="AD38" i="7"/>
  <c r="AC38" i="7"/>
  <c r="M36" i="12"/>
  <c r="AG36" i="9"/>
  <c r="O36" i="12"/>
  <c r="B36" i="12" s="1"/>
  <c r="AH36" i="9"/>
  <c r="AM36" i="9" s="1"/>
  <c r="C38" i="6"/>
  <c r="B38" i="6"/>
  <c r="D39" i="6"/>
  <c r="N40" i="6"/>
  <c r="E40" i="6"/>
  <c r="G40" i="6"/>
  <c r="M40" i="6"/>
  <c r="H40" i="6"/>
  <c r="K40" i="6"/>
  <c r="J40" i="6"/>
  <c r="I40" i="6"/>
  <c r="F40" i="6"/>
  <c r="L40" i="6"/>
  <c r="M40" i="8"/>
  <c r="AG32" i="8"/>
  <c r="Y32" i="9" s="1"/>
  <c r="AB32" i="9" s="1"/>
  <c r="AQ32" i="9" s="1"/>
  <c r="AH32" i="8"/>
  <c r="AA32" i="9" s="1"/>
  <c r="AD32" i="9" s="1"/>
  <c r="AX32" i="9" s="1"/>
  <c r="Q62" i="7"/>
  <c r="O62" i="7"/>
  <c r="P62" i="7"/>
  <c r="N62" i="7"/>
  <c r="Q64" i="7"/>
  <c r="N64" i="7"/>
  <c r="P64" i="7"/>
  <c r="O64" i="7"/>
  <c r="J37" i="3"/>
  <c r="I38" i="12"/>
  <c r="A44" i="12"/>
  <c r="K38" i="9"/>
  <c r="B40" i="5"/>
  <c r="AD41" i="23" s="1"/>
  <c r="H39" i="12"/>
  <c r="S43" i="5"/>
  <c r="A44" i="5"/>
  <c r="M44" i="5" s="1"/>
  <c r="T43" i="5"/>
  <c r="G41" i="5"/>
  <c r="E41" i="5"/>
  <c r="AE42" i="23" s="1"/>
  <c r="J42" i="5"/>
  <c r="C42" i="5" s="1"/>
  <c r="C41" i="5"/>
  <c r="F41" i="5"/>
  <c r="AF42" i="23" s="1"/>
  <c r="AO41" i="9" s="1"/>
  <c r="H41" i="5"/>
  <c r="Q43" i="5"/>
  <c r="O43" i="5"/>
  <c r="N43" i="5"/>
  <c r="P43" i="5"/>
  <c r="R43" i="5"/>
  <c r="L43" i="5"/>
  <c r="M43" i="5"/>
  <c r="D41" i="5"/>
  <c r="F39" i="9"/>
  <c r="F39" i="3"/>
  <c r="I38" i="3"/>
  <c r="A44" i="11"/>
  <c r="Z40" i="3"/>
  <c r="A43" i="8"/>
  <c r="B42" i="8" l="1"/>
  <c r="AJ42" i="8" s="1"/>
  <c r="G42" i="8"/>
  <c r="C42" i="8"/>
  <c r="D42" i="8" s="1"/>
  <c r="AS43" i="8"/>
  <c r="AR43" i="8"/>
  <c r="AQ43" i="8"/>
  <c r="AP43" i="8"/>
  <c r="AO43" i="8"/>
  <c r="AT43" i="8"/>
  <c r="AL43" i="8"/>
  <c r="AM43" i="8"/>
  <c r="AN43" i="8"/>
  <c r="AU43" i="8"/>
  <c r="AV43" i="8"/>
  <c r="AW43" i="8"/>
  <c r="AX43" i="8"/>
  <c r="AY43" i="8"/>
  <c r="AZ43" i="8"/>
  <c r="BA43" i="8"/>
  <c r="BB43" i="8"/>
  <c r="BC43" i="8"/>
  <c r="BD43" i="8"/>
  <c r="BE43" i="8"/>
  <c r="BF43" i="8"/>
  <c r="AK43" i="8" s="1"/>
  <c r="BH30" i="3"/>
  <c r="BI30" i="3" s="1"/>
  <c r="AA30" i="11" s="1"/>
  <c r="H30" i="11" s="1"/>
  <c r="AH42" i="23"/>
  <c r="U41" i="12" s="1"/>
  <c r="AK38" i="3"/>
  <c r="T35" i="8"/>
  <c r="S35" i="8" s="1"/>
  <c r="AM35" i="3"/>
  <c r="AJ39" i="3"/>
  <c r="BT34" i="9"/>
  <c r="BU34" i="9" s="1"/>
  <c r="R34" i="11" s="1"/>
  <c r="BK34" i="9"/>
  <c r="BL34" i="9" s="1"/>
  <c r="BT32" i="9"/>
  <c r="BU32" i="9" s="1"/>
  <c r="R32" i="11" s="1"/>
  <c r="BK32" i="9"/>
  <c r="BL32" i="9" s="1"/>
  <c r="AK36" i="9"/>
  <c r="AJ36" i="9"/>
  <c r="AL35" i="9"/>
  <c r="X36" i="9"/>
  <c r="L36" i="8" s="1"/>
  <c r="W36" i="9"/>
  <c r="BB36" i="9" s="1"/>
  <c r="AG42" i="23"/>
  <c r="W41" i="12" s="1"/>
  <c r="H36" i="8"/>
  <c r="I36" i="8" s="1"/>
  <c r="W35" i="9"/>
  <c r="BB35" i="9" s="1"/>
  <c r="X35" i="9"/>
  <c r="L35" i="8" s="1"/>
  <c r="AJ36" i="23"/>
  <c r="AK36" i="23" s="1"/>
  <c r="H35" i="8"/>
  <c r="I35" i="8" s="1"/>
  <c r="J37" i="9"/>
  <c r="AJ38" i="23" s="1"/>
  <c r="AK38" i="23" s="1"/>
  <c r="Q37" i="9"/>
  <c r="G41" i="12"/>
  <c r="R39" i="9"/>
  <c r="AD41" i="3"/>
  <c r="E40" i="12"/>
  <c r="G40" i="9"/>
  <c r="G40" i="3"/>
  <c r="N40" i="3" s="1"/>
  <c r="F41" i="12"/>
  <c r="E41" i="3"/>
  <c r="E41" i="9"/>
  <c r="AC52" i="23"/>
  <c r="U53" i="23"/>
  <c r="A48" i="6"/>
  <c r="AB49" i="22"/>
  <c r="T50" i="22"/>
  <c r="U51" i="22"/>
  <c r="P50" i="6" s="1"/>
  <c r="AC50" i="22"/>
  <c r="AC39" i="3"/>
  <c r="AI39" i="3" s="1"/>
  <c r="B40" i="3"/>
  <c r="K40" i="12"/>
  <c r="P40" i="12"/>
  <c r="AU41" i="3"/>
  <c r="M35" i="3"/>
  <c r="M35" i="9" s="1"/>
  <c r="O35" i="9" s="1"/>
  <c r="D35" i="11" s="1"/>
  <c r="BI31" i="9"/>
  <c r="BJ31" i="9" s="1"/>
  <c r="R32" i="8"/>
  <c r="AF32" i="8" s="1"/>
  <c r="Z32" i="9" s="1"/>
  <c r="AC32" i="9" s="1"/>
  <c r="AT32" i="9" s="1"/>
  <c r="AV32" i="9" s="1"/>
  <c r="AR33" i="9"/>
  <c r="AI31" i="8"/>
  <c r="Q31" i="12" s="1"/>
  <c r="Z32" i="8"/>
  <c r="AE32" i="8" s="1"/>
  <c r="V32" i="3" s="1"/>
  <c r="Y32" i="3" s="1"/>
  <c r="AR32" i="3" s="1"/>
  <c r="BF32" i="3" s="1"/>
  <c r="BG32" i="3" s="1"/>
  <c r="W32" i="11" s="1"/>
  <c r="AU33" i="9"/>
  <c r="BV33" i="9" s="1"/>
  <c r="BW33" i="9" s="1"/>
  <c r="O33" i="11" s="1"/>
  <c r="V33" i="8"/>
  <c r="X33" i="8" s="1"/>
  <c r="Y33" i="8" s="1"/>
  <c r="AD33" i="8" s="1"/>
  <c r="R35" i="3"/>
  <c r="AS35" i="3" s="1"/>
  <c r="L35" i="3"/>
  <c r="N35" i="9" s="1"/>
  <c r="AD32" i="8"/>
  <c r="T32" i="3" s="1"/>
  <c r="W32" i="3" s="1"/>
  <c r="AL32" i="3" s="1"/>
  <c r="AN32" i="3" s="1"/>
  <c r="AX31" i="3"/>
  <c r="BB31" i="3"/>
  <c r="BC31" i="3" s="1"/>
  <c r="X31" i="11" s="1"/>
  <c r="AS32" i="9"/>
  <c r="Q36" i="3"/>
  <c r="P36" i="3"/>
  <c r="O36" i="3"/>
  <c r="J33" i="8"/>
  <c r="Q33" i="8" s="1"/>
  <c r="Q41" i="6"/>
  <c r="AD42" i="17" s="1"/>
  <c r="R41" i="6"/>
  <c r="AA42" i="17" s="1"/>
  <c r="S42" i="6"/>
  <c r="W43" i="6"/>
  <c r="V43" i="6"/>
  <c r="AB43" i="6"/>
  <c r="U43" i="6"/>
  <c r="AC43" i="6"/>
  <c r="Y43" i="6"/>
  <c r="Z43" i="6"/>
  <c r="AA43" i="6"/>
  <c r="T43" i="6"/>
  <c r="X43" i="6"/>
  <c r="AA34" i="8"/>
  <c r="AC34" i="8" s="1"/>
  <c r="U34" i="3" s="1"/>
  <c r="X34" i="3" s="1"/>
  <c r="AO34" i="3" s="1"/>
  <c r="Z34" i="8"/>
  <c r="AE34" i="8" s="1"/>
  <c r="V34" i="3" s="1"/>
  <c r="Y34" i="3" s="1"/>
  <c r="AR34" i="3" s="1"/>
  <c r="BF34" i="3" s="1"/>
  <c r="BG34" i="3" s="1"/>
  <c r="W34" i="11" s="1"/>
  <c r="P37" i="3"/>
  <c r="AM37" i="3" s="1"/>
  <c r="J37" i="12"/>
  <c r="AA39" i="7"/>
  <c r="M36" i="3"/>
  <c r="M36" i="9" s="1"/>
  <c r="O36" i="9" s="1"/>
  <c r="D36" i="11" s="1"/>
  <c r="AD39" i="7"/>
  <c r="AC39" i="7"/>
  <c r="M37" i="12"/>
  <c r="AG37" i="9"/>
  <c r="AH37" i="9"/>
  <c r="AM37" i="9" s="1"/>
  <c r="O37" i="12"/>
  <c r="B37" i="12" s="1"/>
  <c r="M42" i="8"/>
  <c r="M41" i="6"/>
  <c r="G41" i="6"/>
  <c r="K41" i="6"/>
  <c r="E41" i="6"/>
  <c r="N41" i="6"/>
  <c r="I41" i="6"/>
  <c r="F41" i="6"/>
  <c r="J41" i="6"/>
  <c r="H41" i="6"/>
  <c r="L41" i="6"/>
  <c r="D40" i="6"/>
  <c r="B39" i="6"/>
  <c r="C39" i="6"/>
  <c r="L36" i="3"/>
  <c r="N36" i="9" s="1"/>
  <c r="R36" i="3"/>
  <c r="AS36" i="3" s="1"/>
  <c r="BB32" i="3"/>
  <c r="BC32" i="3" s="1"/>
  <c r="X32" i="11" s="1"/>
  <c r="K39" i="9"/>
  <c r="Q34" i="8"/>
  <c r="AG34" i="8"/>
  <c r="Y34" i="9" s="1"/>
  <c r="AB34" i="9" s="1"/>
  <c r="AQ34" i="9" s="1"/>
  <c r="AS34" i="9" s="1"/>
  <c r="AH34" i="8"/>
  <c r="AA34" i="9" s="1"/>
  <c r="AD34" i="9" s="1"/>
  <c r="AX34" i="9" s="1"/>
  <c r="T34" i="3"/>
  <c r="W34" i="3" s="1"/>
  <c r="AL34" i="3" s="1"/>
  <c r="L44" i="5"/>
  <c r="K44" i="5"/>
  <c r="R44" i="5"/>
  <c r="P44" i="5"/>
  <c r="N44" i="5"/>
  <c r="O44" i="5"/>
  <c r="Q63" i="7"/>
  <c r="P63" i="7"/>
  <c r="P10" i="7" s="1"/>
  <c r="N63" i="7"/>
  <c r="O63" i="7"/>
  <c r="Z34" i="9"/>
  <c r="AC34" i="9" s="1"/>
  <c r="AT34" i="9" s="1"/>
  <c r="AV34" i="9" s="1"/>
  <c r="J38" i="3"/>
  <c r="L38" i="9"/>
  <c r="I39" i="12"/>
  <c r="A45" i="12"/>
  <c r="H40" i="12"/>
  <c r="A45" i="5"/>
  <c r="P45" i="5" s="1"/>
  <c r="Q44" i="5"/>
  <c r="T44" i="5"/>
  <c r="S44" i="5"/>
  <c r="B41" i="5"/>
  <c r="AD42" i="23" s="1"/>
  <c r="I42" i="5"/>
  <c r="AI43" i="23" s="1"/>
  <c r="F42" i="5"/>
  <c r="AF43" i="23" s="1"/>
  <c r="AO42" i="9" s="1"/>
  <c r="D42" i="5"/>
  <c r="B42" i="5" s="1"/>
  <c r="AD43" i="23" s="1"/>
  <c r="G42" i="5"/>
  <c r="E42" i="5"/>
  <c r="AE43" i="23" s="1"/>
  <c r="H42" i="5"/>
  <c r="J43" i="5"/>
  <c r="F43" i="5" s="1"/>
  <c r="AF44" i="23" s="1"/>
  <c r="AO43" i="9" s="1"/>
  <c r="F40" i="9"/>
  <c r="F40" i="3"/>
  <c r="I39" i="3"/>
  <c r="A45" i="11"/>
  <c r="Z41" i="3"/>
  <c r="A44" i="8"/>
  <c r="B43" i="8" l="1"/>
  <c r="AJ43" i="8" s="1"/>
  <c r="C43" i="8"/>
  <c r="D43" i="8" s="1"/>
  <c r="G43" i="8"/>
  <c r="AQ44" i="8"/>
  <c r="AP44" i="8"/>
  <c r="AO44" i="8"/>
  <c r="AN44" i="8"/>
  <c r="AU44" i="8"/>
  <c r="AM44" i="8"/>
  <c r="AR44" i="8"/>
  <c r="AT44" i="8"/>
  <c r="AS44" i="8"/>
  <c r="AL44" i="8"/>
  <c r="AV44" i="8"/>
  <c r="AW44" i="8"/>
  <c r="AX44" i="8"/>
  <c r="AY44" i="8"/>
  <c r="AZ44" i="8"/>
  <c r="BA44" i="8"/>
  <c r="BB44" i="8"/>
  <c r="BC44" i="8"/>
  <c r="BD44" i="8"/>
  <c r="BE44" i="8"/>
  <c r="BF44" i="8"/>
  <c r="AK44" i="8" s="1"/>
  <c r="AH43" i="23"/>
  <c r="U42" i="12" s="1"/>
  <c r="T36" i="8"/>
  <c r="S36" i="8" s="1"/>
  <c r="AM36" i="3"/>
  <c r="AZ36" i="3" s="1"/>
  <c r="BA36" i="3" s="1"/>
  <c r="Z36" i="11" s="1"/>
  <c r="AK39" i="3"/>
  <c r="AJ40" i="3"/>
  <c r="AY31" i="3"/>
  <c r="V31" i="11" s="1"/>
  <c r="BH31" i="3"/>
  <c r="BI31" i="3" s="1"/>
  <c r="AA31" i="11" s="1"/>
  <c r="H31" i="11" s="1"/>
  <c r="BT33" i="9"/>
  <c r="BU33" i="9" s="1"/>
  <c r="R33" i="11" s="1"/>
  <c r="BK33" i="9"/>
  <c r="BL33" i="9" s="1"/>
  <c r="AL36" i="9"/>
  <c r="AK37" i="9"/>
  <c r="AJ37" i="9"/>
  <c r="AG43" i="23"/>
  <c r="W42" i="12" s="1"/>
  <c r="H37" i="8"/>
  <c r="I37" i="8" s="1"/>
  <c r="AZ35" i="3"/>
  <c r="BA35" i="3" s="1"/>
  <c r="Z35" i="11" s="1"/>
  <c r="W37" i="9"/>
  <c r="BB37" i="9" s="1"/>
  <c r="X37" i="9"/>
  <c r="L37" i="8" s="1"/>
  <c r="G41" i="9"/>
  <c r="G41" i="3"/>
  <c r="N41" i="3" s="1"/>
  <c r="E41" i="12"/>
  <c r="AD42" i="3"/>
  <c r="R40" i="9"/>
  <c r="G43" i="12"/>
  <c r="F42" i="12"/>
  <c r="E42" i="9"/>
  <c r="E42" i="3"/>
  <c r="G42" i="9"/>
  <c r="G42" i="3"/>
  <c r="E42" i="12"/>
  <c r="G42" i="12"/>
  <c r="O10" i="7"/>
  <c r="V5" i="7" s="1"/>
  <c r="W5" i="7"/>
  <c r="Q10" i="7"/>
  <c r="X5" i="7" s="1"/>
  <c r="N10" i="7"/>
  <c r="U5" i="7" s="1"/>
  <c r="A49" i="6"/>
  <c r="AB50" i="22"/>
  <c r="T51" i="22"/>
  <c r="AC53" i="23"/>
  <c r="U54" i="23"/>
  <c r="U52" i="22"/>
  <c r="P51" i="6" s="1"/>
  <c r="AC51" i="22"/>
  <c r="AC40" i="3"/>
  <c r="AI40" i="3" s="1"/>
  <c r="T35" i="9"/>
  <c r="W35" i="8" s="1"/>
  <c r="V35" i="9"/>
  <c r="BA35" i="9" s="1"/>
  <c r="BC35" i="9" s="1"/>
  <c r="BQ35" i="9" s="1"/>
  <c r="BR35" i="9" s="1"/>
  <c r="U35" i="9"/>
  <c r="AZ35" i="9" s="1"/>
  <c r="BM35" i="9" s="1"/>
  <c r="BN35" i="9" s="1"/>
  <c r="B41" i="3"/>
  <c r="K41" i="12"/>
  <c r="P41" i="12"/>
  <c r="S35" i="9"/>
  <c r="K35" i="8" s="1"/>
  <c r="N35" i="8" s="1"/>
  <c r="O35" i="8" s="1"/>
  <c r="P35" i="8" s="1"/>
  <c r="AI32" i="8"/>
  <c r="Q32" i="12" s="1"/>
  <c r="BI32" i="9"/>
  <c r="BJ32" i="9" s="1"/>
  <c r="BX35" i="9"/>
  <c r="BY35" i="9" s="1"/>
  <c r="S35" i="11" s="1"/>
  <c r="P35" i="11" s="1"/>
  <c r="P35" i="9"/>
  <c r="AX32" i="3"/>
  <c r="AA33" i="8"/>
  <c r="AC33" i="8" s="1"/>
  <c r="U33" i="3" s="1"/>
  <c r="X33" i="3" s="1"/>
  <c r="AO33" i="3" s="1"/>
  <c r="Z33" i="8"/>
  <c r="AE33" i="8" s="1"/>
  <c r="V33" i="3" s="1"/>
  <c r="Y33" i="3" s="1"/>
  <c r="AR33" i="3" s="1"/>
  <c r="BF33" i="3" s="1"/>
  <c r="BG33" i="3" s="1"/>
  <c r="W33" i="11" s="1"/>
  <c r="Q37" i="3"/>
  <c r="O37" i="3"/>
  <c r="U36" i="9"/>
  <c r="AZ36" i="9" s="1"/>
  <c r="BM36" i="9" s="1"/>
  <c r="BN36" i="9" s="1"/>
  <c r="V36" i="9"/>
  <c r="BA36" i="9" s="1"/>
  <c r="BC36" i="9" s="1"/>
  <c r="BQ36" i="9" s="1"/>
  <c r="BR36" i="9" s="1"/>
  <c r="J38" i="12"/>
  <c r="S43" i="6"/>
  <c r="Q42" i="6"/>
  <c r="AD43" i="17" s="1"/>
  <c r="R42" i="6"/>
  <c r="AA43" i="17" s="1"/>
  <c r="X44" i="6"/>
  <c r="Z44" i="6"/>
  <c r="Y44" i="6"/>
  <c r="AA44" i="6"/>
  <c r="AC44" i="6"/>
  <c r="T44" i="6"/>
  <c r="V44" i="6"/>
  <c r="W44" i="6"/>
  <c r="U44" i="6"/>
  <c r="AB44" i="6"/>
  <c r="H37" i="3"/>
  <c r="M37" i="3" s="1"/>
  <c r="M37" i="9" s="1"/>
  <c r="O37" i="9" s="1"/>
  <c r="D37" i="11" s="1"/>
  <c r="AA40" i="7"/>
  <c r="J39" i="12" s="1"/>
  <c r="B38" i="9"/>
  <c r="T36" i="9"/>
  <c r="S36" i="9"/>
  <c r="K36" i="8" s="1"/>
  <c r="N36" i="8" s="1"/>
  <c r="O36" i="8" s="1"/>
  <c r="P36" i="8" s="1"/>
  <c r="AU42" i="3"/>
  <c r="AC40" i="7"/>
  <c r="AD40" i="7"/>
  <c r="M38" i="12"/>
  <c r="AG38" i="9"/>
  <c r="O38" i="12"/>
  <c r="B38" i="12" s="1"/>
  <c r="AH38" i="9"/>
  <c r="AM38" i="9" s="1"/>
  <c r="Q38" i="3"/>
  <c r="H38" i="3"/>
  <c r="M38" i="3" s="1"/>
  <c r="M38" i="9" s="1"/>
  <c r="O38" i="3"/>
  <c r="P38" i="3"/>
  <c r="AM38" i="3" s="1"/>
  <c r="C40" i="6"/>
  <c r="B40" i="6"/>
  <c r="M43" i="8"/>
  <c r="D41" i="6"/>
  <c r="P36" i="9"/>
  <c r="T37" i="8"/>
  <c r="I42" i="6"/>
  <c r="G42" i="6"/>
  <c r="K42" i="6"/>
  <c r="M42" i="6"/>
  <c r="L42" i="6"/>
  <c r="N42" i="6"/>
  <c r="F42" i="6"/>
  <c r="H42" i="6"/>
  <c r="J42" i="6"/>
  <c r="E42" i="6"/>
  <c r="AN34" i="3"/>
  <c r="AX34" i="3"/>
  <c r="BB34" i="3"/>
  <c r="BC34" i="3" s="1"/>
  <c r="X34" i="11" s="1"/>
  <c r="L39" i="9"/>
  <c r="AH33" i="8"/>
  <c r="AA33" i="9" s="1"/>
  <c r="AD33" i="9" s="1"/>
  <c r="AX33" i="9" s="1"/>
  <c r="AI34" i="8"/>
  <c r="Q34" i="12" s="1"/>
  <c r="AG33" i="8"/>
  <c r="Y33" i="9" s="1"/>
  <c r="AB33" i="9" s="1"/>
  <c r="AQ33" i="9" s="1"/>
  <c r="AS33" i="9" s="1"/>
  <c r="T33" i="3"/>
  <c r="W33" i="3" s="1"/>
  <c r="AL33" i="3" s="1"/>
  <c r="R33" i="8"/>
  <c r="AF33" i="8" s="1"/>
  <c r="Z33" i="9" s="1"/>
  <c r="AC33" i="9" s="1"/>
  <c r="AT33" i="9" s="1"/>
  <c r="AV33" i="9" s="1"/>
  <c r="R45" i="5"/>
  <c r="L45" i="5"/>
  <c r="N45" i="5"/>
  <c r="Q45" i="5"/>
  <c r="BI34" i="9"/>
  <c r="BJ34" i="9" s="1"/>
  <c r="J39" i="3"/>
  <c r="M45" i="5"/>
  <c r="J44" i="5"/>
  <c r="H44" i="5" s="1"/>
  <c r="S45" i="5"/>
  <c r="A46" i="12"/>
  <c r="I40" i="12"/>
  <c r="A46" i="5"/>
  <c r="K46" i="5" s="1"/>
  <c r="O45" i="5"/>
  <c r="K45" i="5"/>
  <c r="H41" i="12"/>
  <c r="T45" i="5"/>
  <c r="C43" i="5"/>
  <c r="G43" i="5"/>
  <c r="E43" i="5"/>
  <c r="AE44" i="23" s="1"/>
  <c r="I43" i="5"/>
  <c r="AI44" i="23" s="1"/>
  <c r="D43" i="5"/>
  <c r="H43" i="5"/>
  <c r="F41" i="3"/>
  <c r="F41" i="9"/>
  <c r="I40" i="3"/>
  <c r="K40" i="9"/>
  <c r="A46" i="11"/>
  <c r="Z42" i="3"/>
  <c r="A45" i="8"/>
  <c r="B44" i="8" l="1"/>
  <c r="AJ44" i="8" s="1"/>
  <c r="G44" i="8"/>
  <c r="C44" i="8"/>
  <c r="D44" i="8" s="1"/>
  <c r="AO45" i="8"/>
  <c r="AN45" i="8"/>
  <c r="AU45" i="8"/>
  <c r="AM45" i="8"/>
  <c r="AT45" i="8"/>
  <c r="AL45" i="8"/>
  <c r="AS45" i="8"/>
  <c r="AP45" i="8"/>
  <c r="AR45" i="8"/>
  <c r="AQ45" i="8"/>
  <c r="AV45" i="8"/>
  <c r="AW45" i="8"/>
  <c r="AX45" i="8"/>
  <c r="AY45" i="8"/>
  <c r="AZ45" i="8"/>
  <c r="BA45" i="8"/>
  <c r="BB45" i="8"/>
  <c r="BC45" i="8"/>
  <c r="BD45" i="8"/>
  <c r="BE45" i="8"/>
  <c r="BF45" i="8"/>
  <c r="AK45" i="8" s="1"/>
  <c r="AH44" i="23"/>
  <c r="U43" i="12" s="1"/>
  <c r="AH45" i="23"/>
  <c r="U44" i="12" s="1"/>
  <c r="W36" i="8"/>
  <c r="AJ41" i="3"/>
  <c r="AK40" i="3"/>
  <c r="AY34" i="3"/>
  <c r="V34" i="11" s="1"/>
  <c r="BH34" i="3"/>
  <c r="BI34" i="3" s="1"/>
  <c r="AA34" i="11" s="1"/>
  <c r="H34" i="11" s="1"/>
  <c r="AY32" i="3"/>
  <c r="V32" i="11" s="1"/>
  <c r="BH32" i="3"/>
  <c r="BI32" i="3" s="1"/>
  <c r="AA32" i="11" s="1"/>
  <c r="H32" i="11" s="1"/>
  <c r="AL37" i="9"/>
  <c r="AK38" i="9"/>
  <c r="AJ38" i="9"/>
  <c r="AG44" i="23"/>
  <c r="W43" i="12" s="1"/>
  <c r="J38" i="9"/>
  <c r="H38" i="8" s="1"/>
  <c r="I38" i="8" s="1"/>
  <c r="Q38" i="9"/>
  <c r="F43" i="12"/>
  <c r="E43" i="9"/>
  <c r="E43" i="3"/>
  <c r="R42" i="9"/>
  <c r="AD44" i="3"/>
  <c r="AD43" i="3"/>
  <c r="R41" i="9"/>
  <c r="AC54" i="23"/>
  <c r="U55" i="23"/>
  <c r="A50" i="6"/>
  <c r="AB51" i="22"/>
  <c r="T52" i="22"/>
  <c r="U53" i="22"/>
  <c r="P52" i="6" s="1"/>
  <c r="AC52" i="22"/>
  <c r="AC41" i="3"/>
  <c r="AI41" i="3" s="1"/>
  <c r="AR35" i="9"/>
  <c r="J35" i="8"/>
  <c r="R35" i="8" s="1"/>
  <c r="AF35" i="8" s="1"/>
  <c r="V35" i="8"/>
  <c r="X35" i="8" s="1"/>
  <c r="Y35" i="8" s="1"/>
  <c r="AD35" i="8" s="1"/>
  <c r="AU35" i="9"/>
  <c r="BV35" i="9" s="1"/>
  <c r="BW35" i="9" s="1"/>
  <c r="O35" i="11" s="1"/>
  <c r="K42" i="12"/>
  <c r="B42" i="3"/>
  <c r="P42" i="12"/>
  <c r="BX36" i="9"/>
  <c r="BY36" i="9" s="1"/>
  <c r="S36" i="11" s="1"/>
  <c r="P36" i="11" s="1"/>
  <c r="S37" i="8"/>
  <c r="T37" i="9"/>
  <c r="W37" i="8" s="1"/>
  <c r="R37" i="3"/>
  <c r="AS37" i="3" s="1"/>
  <c r="V37" i="9"/>
  <c r="BA37" i="9" s="1"/>
  <c r="BC37" i="9" s="1"/>
  <c r="BQ37" i="9" s="1"/>
  <c r="BR37" i="9" s="1"/>
  <c r="U37" i="9"/>
  <c r="AZ37" i="9" s="1"/>
  <c r="BM37" i="9" s="1"/>
  <c r="BN37" i="9" s="1"/>
  <c r="S37" i="9"/>
  <c r="K37" i="8" s="1"/>
  <c r="N37" i="8" s="1"/>
  <c r="O37" i="8" s="1"/>
  <c r="P37" i="8" s="1"/>
  <c r="B39" i="9"/>
  <c r="L37" i="3"/>
  <c r="N37" i="9" s="1"/>
  <c r="P37" i="9" s="1"/>
  <c r="Q39" i="3"/>
  <c r="U45" i="6"/>
  <c r="AA45" i="6"/>
  <c r="W45" i="6"/>
  <c r="X45" i="6"/>
  <c r="T45" i="6"/>
  <c r="AB45" i="6"/>
  <c r="Y45" i="6"/>
  <c r="AC45" i="6"/>
  <c r="Z45" i="6"/>
  <c r="V45" i="6"/>
  <c r="S44" i="6"/>
  <c r="Q43" i="6"/>
  <c r="AD44" i="17" s="1"/>
  <c r="R43" i="6"/>
  <c r="AA44" i="17" s="1"/>
  <c r="K37" i="3"/>
  <c r="AU36" i="9"/>
  <c r="BV36" i="9" s="1"/>
  <c r="BW36" i="9" s="1"/>
  <c r="O36" i="11" s="1"/>
  <c r="AA41" i="7"/>
  <c r="B40" i="9" s="1"/>
  <c r="AR36" i="9"/>
  <c r="K38" i="3"/>
  <c r="AD41" i="7"/>
  <c r="AC41" i="7"/>
  <c r="O39" i="12"/>
  <c r="B39" i="12" s="1"/>
  <c r="AH39" i="9"/>
  <c r="AM39" i="9" s="1"/>
  <c r="AG39" i="9"/>
  <c r="M39" i="12"/>
  <c r="AU44" i="3"/>
  <c r="AU43" i="3"/>
  <c r="N43" i="6"/>
  <c r="I43" i="6"/>
  <c r="J43" i="6"/>
  <c r="H43" i="6"/>
  <c r="G43" i="6"/>
  <c r="L43" i="6"/>
  <c r="K43" i="6"/>
  <c r="M43" i="6"/>
  <c r="F43" i="6"/>
  <c r="E43" i="6"/>
  <c r="AZ37" i="3"/>
  <c r="BA37" i="3" s="1"/>
  <c r="Z37" i="11" s="1"/>
  <c r="BX37" i="9"/>
  <c r="BY37" i="9" s="1"/>
  <c r="S37" i="11" s="1"/>
  <c r="P37" i="11" s="1"/>
  <c r="T38" i="8"/>
  <c r="S38" i="8" s="1"/>
  <c r="D42" i="6"/>
  <c r="R38" i="3"/>
  <c r="AS38" i="3" s="1"/>
  <c r="L38" i="3"/>
  <c r="N38" i="9" s="1"/>
  <c r="B41" i="6"/>
  <c r="C41" i="6"/>
  <c r="AN33" i="3"/>
  <c r="AX33" i="3"/>
  <c r="BB33" i="3"/>
  <c r="BC33" i="3" s="1"/>
  <c r="X33" i="11" s="1"/>
  <c r="P46" i="5"/>
  <c r="AI33" i="8"/>
  <c r="Q33" i="12" s="1"/>
  <c r="C44" i="5"/>
  <c r="Q46" i="5"/>
  <c r="S46" i="5"/>
  <c r="F44" i="5"/>
  <c r="AF45" i="23" s="1"/>
  <c r="AO44" i="9" s="1"/>
  <c r="G44" i="5"/>
  <c r="BI33" i="9"/>
  <c r="BJ33" i="9" s="1"/>
  <c r="V36" i="8"/>
  <c r="J36" i="8"/>
  <c r="L40" i="9"/>
  <c r="A47" i="12"/>
  <c r="L46" i="5"/>
  <c r="A47" i="5"/>
  <c r="P47" i="5" s="1"/>
  <c r="M46" i="5"/>
  <c r="E44" i="5"/>
  <c r="AE45" i="23" s="1"/>
  <c r="T46" i="5"/>
  <c r="I44" i="5"/>
  <c r="AI45" i="23" s="1"/>
  <c r="J45" i="5"/>
  <c r="I45" i="5" s="1"/>
  <c r="AI46" i="23" s="1"/>
  <c r="R46" i="5"/>
  <c r="D44" i="5"/>
  <c r="N46" i="5"/>
  <c r="I41" i="12"/>
  <c r="O46" i="5"/>
  <c r="N42" i="3"/>
  <c r="K41" i="9"/>
  <c r="H42" i="12"/>
  <c r="B43" i="5"/>
  <c r="AD44" i="23" s="1"/>
  <c r="F42" i="3"/>
  <c r="F42" i="9"/>
  <c r="K42" i="9" s="1"/>
  <c r="J40" i="3"/>
  <c r="I41" i="3"/>
  <c r="A47" i="11"/>
  <c r="Z43" i="3"/>
  <c r="A46" i="8"/>
  <c r="AU46" i="8" l="1"/>
  <c r="AM46" i="8"/>
  <c r="AT46" i="8"/>
  <c r="AL46" i="8"/>
  <c r="AS46" i="8"/>
  <c r="AR46" i="8"/>
  <c r="AQ46" i="8"/>
  <c r="AN46" i="8"/>
  <c r="AO46" i="8"/>
  <c r="AP46" i="8"/>
  <c r="AV46" i="8"/>
  <c r="AW46" i="8"/>
  <c r="AX46" i="8"/>
  <c r="AY46" i="8"/>
  <c r="AZ46" i="8"/>
  <c r="BA46" i="8"/>
  <c r="BB46" i="8"/>
  <c r="BC46" i="8"/>
  <c r="BD46" i="8"/>
  <c r="BE46" i="8"/>
  <c r="BF46" i="8"/>
  <c r="B45" i="8"/>
  <c r="AJ45" i="8" s="1"/>
  <c r="C45" i="8"/>
  <c r="D45" i="8" s="1"/>
  <c r="G45" i="8"/>
  <c r="X36" i="8"/>
  <c r="Y36" i="8" s="1"/>
  <c r="Z36" i="8" s="1"/>
  <c r="AE36" i="8" s="1"/>
  <c r="AK41" i="3"/>
  <c r="AJ42" i="3"/>
  <c r="BT36" i="9"/>
  <c r="BU36" i="9" s="1"/>
  <c r="R36" i="11" s="1"/>
  <c r="BK36" i="9"/>
  <c r="BL36" i="9" s="1"/>
  <c r="BT35" i="9"/>
  <c r="BU35" i="9" s="1"/>
  <c r="R35" i="11" s="1"/>
  <c r="BK35" i="9"/>
  <c r="BL35" i="9" s="1"/>
  <c r="AY33" i="3"/>
  <c r="V33" i="11" s="1"/>
  <c r="BH33" i="3"/>
  <c r="BI33" i="3" s="1"/>
  <c r="AA33" i="11" s="1"/>
  <c r="H33" i="11" s="1"/>
  <c r="AL38" i="9"/>
  <c r="AJ39" i="9"/>
  <c r="AK39" i="9"/>
  <c r="U38" i="9"/>
  <c r="AZ38" i="9" s="1"/>
  <c r="BM38" i="9" s="1"/>
  <c r="V38" i="9"/>
  <c r="BA38" i="9" s="1"/>
  <c r="T38" i="9"/>
  <c r="W38" i="8" s="1"/>
  <c r="X38" i="9"/>
  <c r="L38" i="8" s="1"/>
  <c r="W38" i="9"/>
  <c r="BB38" i="9" s="1"/>
  <c r="AG45" i="23"/>
  <c r="W44" i="12" s="1"/>
  <c r="O38" i="9"/>
  <c r="D38" i="11" s="1"/>
  <c r="S38" i="9"/>
  <c r="AR38" i="9" s="1"/>
  <c r="AJ39" i="23"/>
  <c r="AK39" i="23" s="1"/>
  <c r="J40" i="9"/>
  <c r="AJ41" i="23" s="1"/>
  <c r="AK41" i="23" s="1"/>
  <c r="Q40" i="9"/>
  <c r="J39" i="9"/>
  <c r="AJ40" i="23" s="1"/>
  <c r="AK40" i="23" s="1"/>
  <c r="Q39" i="9"/>
  <c r="G43" i="3"/>
  <c r="N43" i="3" s="1"/>
  <c r="E43" i="12"/>
  <c r="G43" i="9"/>
  <c r="F44" i="12"/>
  <c r="E44" i="3"/>
  <c r="E44" i="9"/>
  <c r="A51" i="6"/>
  <c r="AB52" i="22"/>
  <c r="T53" i="22"/>
  <c r="AC55" i="23"/>
  <c r="U56" i="23"/>
  <c r="U54" i="22"/>
  <c r="P53" i="6" s="1"/>
  <c r="AC53" i="22"/>
  <c r="M44" i="8"/>
  <c r="M45" i="8"/>
  <c r="AA35" i="8"/>
  <c r="AC35" i="8" s="1"/>
  <c r="U35" i="3" s="1"/>
  <c r="X35" i="3" s="1"/>
  <c r="AO35" i="3" s="1"/>
  <c r="Z35" i="8"/>
  <c r="AE35" i="8" s="1"/>
  <c r="V35" i="3" s="1"/>
  <c r="Y35" i="3" s="1"/>
  <c r="AR35" i="3" s="1"/>
  <c r="BF35" i="3" s="1"/>
  <c r="BG35" i="3" s="1"/>
  <c r="W35" i="11" s="1"/>
  <c r="AC42" i="3"/>
  <c r="AI42" i="3" s="1"/>
  <c r="AC43" i="3"/>
  <c r="K43" i="12"/>
  <c r="B43" i="3"/>
  <c r="H39" i="3"/>
  <c r="M39" i="3" s="1"/>
  <c r="M39" i="9" s="1"/>
  <c r="P39" i="3"/>
  <c r="O39" i="3"/>
  <c r="AU37" i="9"/>
  <c r="BV37" i="9" s="1"/>
  <c r="AR37" i="9"/>
  <c r="S45" i="6"/>
  <c r="R44" i="6"/>
  <c r="AA45" i="17" s="1"/>
  <c r="Q44" i="6"/>
  <c r="AD45" i="17" s="1"/>
  <c r="AB46" i="6"/>
  <c r="Y46" i="6"/>
  <c r="AC46" i="6"/>
  <c r="Z46" i="6"/>
  <c r="V46" i="6"/>
  <c r="W46" i="6"/>
  <c r="U46" i="6"/>
  <c r="X46" i="6"/>
  <c r="AA46" i="6"/>
  <c r="T46" i="6"/>
  <c r="H40" i="3"/>
  <c r="M40" i="3" s="1"/>
  <c r="M40" i="9" s="1"/>
  <c r="J40" i="12"/>
  <c r="AA42" i="7"/>
  <c r="J41" i="12" s="1"/>
  <c r="AD42" i="7"/>
  <c r="AC42" i="7"/>
  <c r="M40" i="12"/>
  <c r="AG40" i="9"/>
  <c r="AH40" i="9"/>
  <c r="AM40" i="9" s="1"/>
  <c r="O40" i="12"/>
  <c r="B40" i="12" s="1"/>
  <c r="D43" i="6"/>
  <c r="M44" i="6"/>
  <c r="N44" i="6"/>
  <c r="H44" i="6"/>
  <c r="E44" i="6"/>
  <c r="I44" i="6"/>
  <c r="J44" i="6"/>
  <c r="K44" i="6"/>
  <c r="G44" i="6"/>
  <c r="L44" i="6"/>
  <c r="F44" i="6"/>
  <c r="C42" i="6"/>
  <c r="B42" i="6"/>
  <c r="P38" i="9"/>
  <c r="Q35" i="8"/>
  <c r="AH35" i="8"/>
  <c r="AA35" i="9" s="1"/>
  <c r="AD35" i="9" s="1"/>
  <c r="AX35" i="9" s="1"/>
  <c r="AH36" i="8"/>
  <c r="AA36" i="9" s="1"/>
  <c r="AD36" i="9" s="1"/>
  <c r="AX36" i="9" s="1"/>
  <c r="AG35" i="8"/>
  <c r="Y35" i="9" s="1"/>
  <c r="AB35" i="9" s="1"/>
  <c r="AQ35" i="9" s="1"/>
  <c r="AS35" i="9" s="1"/>
  <c r="T35" i="3"/>
  <c r="W35" i="3" s="1"/>
  <c r="AL35" i="3" s="1"/>
  <c r="B44" i="5"/>
  <c r="AD45" i="23" s="1"/>
  <c r="M47" i="5"/>
  <c r="F45" i="5"/>
  <c r="AF46" i="23" s="1"/>
  <c r="D45" i="5"/>
  <c r="H45" i="5"/>
  <c r="L47" i="5"/>
  <c r="T47" i="5"/>
  <c r="J46" i="5"/>
  <c r="E46" i="5" s="1"/>
  <c r="AE47" i="23" s="1"/>
  <c r="R47" i="5"/>
  <c r="Z35" i="9"/>
  <c r="AC35" i="9" s="1"/>
  <c r="AT35" i="9" s="1"/>
  <c r="AV35" i="9" s="1"/>
  <c r="V37" i="8"/>
  <c r="X37" i="8" s="1"/>
  <c r="Y37" i="8" s="1"/>
  <c r="J37" i="8"/>
  <c r="G45" i="5"/>
  <c r="S47" i="5"/>
  <c r="E45" i="5"/>
  <c r="AE46" i="23" s="1"/>
  <c r="O47" i="5"/>
  <c r="J41" i="3"/>
  <c r="L41" i="9"/>
  <c r="L42" i="9"/>
  <c r="C45" i="5"/>
  <c r="Q47" i="5"/>
  <c r="I42" i="12"/>
  <c r="K47" i="5"/>
  <c r="N47" i="5"/>
  <c r="A48" i="12"/>
  <c r="A48" i="5"/>
  <c r="K48" i="5" s="1"/>
  <c r="H43" i="12"/>
  <c r="I42" i="3"/>
  <c r="F43" i="9"/>
  <c r="F43" i="3"/>
  <c r="A48" i="11"/>
  <c r="A47" i="8"/>
  <c r="AS47" i="8" l="1"/>
  <c r="AR47" i="8"/>
  <c r="AQ47" i="8"/>
  <c r="AP47" i="8"/>
  <c r="AO47" i="8"/>
  <c r="AT47" i="8"/>
  <c r="AL47" i="8"/>
  <c r="AU47" i="8"/>
  <c r="AN47" i="8"/>
  <c r="AM47" i="8"/>
  <c r="AV47" i="8"/>
  <c r="AW47" i="8"/>
  <c r="AX47" i="8"/>
  <c r="AY47" i="8"/>
  <c r="AZ47" i="8"/>
  <c r="BA47" i="8"/>
  <c r="BB47" i="8"/>
  <c r="BC47" i="8"/>
  <c r="BD47" i="8"/>
  <c r="BE47" i="8"/>
  <c r="BF47" i="8"/>
  <c r="AK46" i="8"/>
  <c r="AH46" i="23"/>
  <c r="U45" i="12" s="1"/>
  <c r="AD36" i="8"/>
  <c r="T36" i="3" s="1"/>
  <c r="W36" i="3" s="1"/>
  <c r="AL36" i="3" s="1"/>
  <c r="AA36" i="8"/>
  <c r="AC36" i="8" s="1"/>
  <c r="U36" i="3" s="1"/>
  <c r="X36" i="3" s="1"/>
  <c r="AO36" i="3" s="1"/>
  <c r="T39" i="8"/>
  <c r="S39" i="8" s="1"/>
  <c r="AM39" i="3"/>
  <c r="AK42" i="3"/>
  <c r="AI43" i="3"/>
  <c r="AJ43" i="3"/>
  <c r="BT37" i="9"/>
  <c r="BU37" i="9" s="1"/>
  <c r="R37" i="11" s="1"/>
  <c r="BK37" i="9"/>
  <c r="BL37" i="9" s="1"/>
  <c r="BT38" i="9"/>
  <c r="BU38" i="9" s="1"/>
  <c r="R38" i="11" s="1"/>
  <c r="AJ40" i="9"/>
  <c r="AK40" i="9"/>
  <c r="AL39" i="9"/>
  <c r="BC38" i="9"/>
  <c r="BQ38" i="9" s="1"/>
  <c r="BR38" i="9" s="1"/>
  <c r="AU38" i="9"/>
  <c r="BV38" i="9" s="1"/>
  <c r="AZ38" i="3"/>
  <c r="BA38" i="3" s="1"/>
  <c r="Z38" i="11" s="1"/>
  <c r="BX38" i="9"/>
  <c r="BY38" i="9" s="1"/>
  <c r="S38" i="11" s="1"/>
  <c r="P38" i="11" s="1"/>
  <c r="BN38" i="9"/>
  <c r="AG46" i="23"/>
  <c r="W45" i="12" s="1"/>
  <c r="K38" i="8"/>
  <c r="N38" i="8" s="1"/>
  <c r="O38" i="8" s="1"/>
  <c r="P38" i="8" s="1"/>
  <c r="H40" i="8"/>
  <c r="I40" i="8" s="1"/>
  <c r="X40" i="9"/>
  <c r="L40" i="8" s="1"/>
  <c r="W39" i="9"/>
  <c r="BB39" i="9" s="1"/>
  <c r="O39" i="9"/>
  <c r="D39" i="11" s="1"/>
  <c r="X39" i="9"/>
  <c r="L39" i="8" s="1"/>
  <c r="H39" i="8"/>
  <c r="I39" i="8" s="1"/>
  <c r="W40" i="9"/>
  <c r="BB40" i="9" s="1"/>
  <c r="G44" i="12"/>
  <c r="Z44" i="3"/>
  <c r="F45" i="12"/>
  <c r="E45" i="3"/>
  <c r="E45" i="9"/>
  <c r="G44" i="9"/>
  <c r="G44" i="3"/>
  <c r="N44" i="3" s="1"/>
  <c r="E44" i="12"/>
  <c r="E46" i="3"/>
  <c r="F46" i="12"/>
  <c r="E46" i="9"/>
  <c r="R43" i="9"/>
  <c r="AO45" i="9"/>
  <c r="G45" i="12"/>
  <c r="AC56" i="23"/>
  <c r="U57" i="23"/>
  <c r="A52" i="6"/>
  <c r="AB53" i="22"/>
  <c r="T54" i="22"/>
  <c r="U55" i="22"/>
  <c r="P54" i="6" s="1"/>
  <c r="AC54" i="22"/>
  <c r="AU46" i="3"/>
  <c r="AU45" i="3"/>
  <c r="P43" i="12"/>
  <c r="AC44" i="3"/>
  <c r="K44" i="12"/>
  <c r="B44" i="3"/>
  <c r="V39" i="9"/>
  <c r="BA39" i="9" s="1"/>
  <c r="B41" i="9"/>
  <c r="L39" i="3"/>
  <c r="N39" i="9" s="1"/>
  <c r="P39" i="9" s="1"/>
  <c r="R39" i="3"/>
  <c r="AS39" i="3" s="1"/>
  <c r="S39" i="9"/>
  <c r="K39" i="8" s="1"/>
  <c r="N39" i="8" s="1"/>
  <c r="O39" i="8" s="1"/>
  <c r="P39" i="8" s="1"/>
  <c r="U39" i="9"/>
  <c r="AZ39" i="9" s="1"/>
  <c r="BM39" i="9" s="1"/>
  <c r="T39" i="9"/>
  <c r="K39" i="3"/>
  <c r="Q40" i="3"/>
  <c r="O40" i="3"/>
  <c r="P40" i="3"/>
  <c r="AB47" i="6"/>
  <c r="Y47" i="6"/>
  <c r="V47" i="6"/>
  <c r="T47" i="6"/>
  <c r="U47" i="6"/>
  <c r="AC47" i="6"/>
  <c r="Z47" i="6"/>
  <c r="AA47" i="6"/>
  <c r="X47" i="6"/>
  <c r="W47" i="6"/>
  <c r="S46" i="6"/>
  <c r="Q45" i="6"/>
  <c r="AD46" i="17" s="1"/>
  <c r="R45" i="6"/>
  <c r="AA46" i="17" s="1"/>
  <c r="AA43" i="7"/>
  <c r="O41" i="3"/>
  <c r="AC43" i="7"/>
  <c r="AD43" i="7"/>
  <c r="M41" i="12"/>
  <c r="AG41" i="9"/>
  <c r="AH41" i="9"/>
  <c r="AM41" i="9" s="1"/>
  <c r="O41" i="12"/>
  <c r="B41" i="12" s="1"/>
  <c r="K40" i="3"/>
  <c r="D44" i="6"/>
  <c r="E45" i="6"/>
  <c r="H45" i="6"/>
  <c r="N45" i="6"/>
  <c r="L45" i="6"/>
  <c r="J45" i="6"/>
  <c r="M45" i="6"/>
  <c r="G45" i="6"/>
  <c r="F45" i="6"/>
  <c r="K45" i="6"/>
  <c r="I45" i="6"/>
  <c r="L40" i="3"/>
  <c r="N40" i="9" s="1"/>
  <c r="R40" i="3"/>
  <c r="AS40" i="3" s="1"/>
  <c r="B43" i="6"/>
  <c r="C43" i="6"/>
  <c r="AG36" i="8"/>
  <c r="Y36" i="9" s="1"/>
  <c r="AB36" i="9" s="1"/>
  <c r="AQ36" i="9" s="1"/>
  <c r="AS36" i="9" s="1"/>
  <c r="BW37" i="9"/>
  <c r="O37" i="11" s="1"/>
  <c r="BB35" i="3"/>
  <c r="BC35" i="3" s="1"/>
  <c r="X35" i="11" s="1"/>
  <c r="AN35" i="3"/>
  <c r="AX35" i="3"/>
  <c r="Z37" i="8"/>
  <c r="AE37" i="8" s="1"/>
  <c r="AA37" i="8"/>
  <c r="AC37" i="8" s="1"/>
  <c r="AD37" i="8"/>
  <c r="Q36" i="8"/>
  <c r="R36" i="8"/>
  <c r="AF36" i="8" s="1"/>
  <c r="V36" i="3"/>
  <c r="Y36" i="3" s="1"/>
  <c r="AR36" i="3" s="1"/>
  <c r="BF36" i="3" s="1"/>
  <c r="BG36" i="3" s="1"/>
  <c r="W36" i="11" s="1"/>
  <c r="AH37" i="8"/>
  <c r="AA37" i="9" s="1"/>
  <c r="AD37" i="9" s="1"/>
  <c r="AX37" i="9" s="1"/>
  <c r="AI35" i="8"/>
  <c r="Q35" i="12" s="1"/>
  <c r="B45" i="5"/>
  <c r="AD46" i="23" s="1"/>
  <c r="D46" i="5"/>
  <c r="I46" i="5"/>
  <c r="AI47" i="23" s="1"/>
  <c r="V40" i="9"/>
  <c r="BA40" i="9" s="1"/>
  <c r="O40" i="9"/>
  <c r="D40" i="11" s="1"/>
  <c r="F46" i="5"/>
  <c r="AF47" i="23" s="1"/>
  <c r="AO46" i="9" s="1"/>
  <c r="C46" i="5"/>
  <c r="H46" i="5"/>
  <c r="G46" i="5"/>
  <c r="N48" i="5"/>
  <c r="S48" i="5"/>
  <c r="BI35" i="9"/>
  <c r="BJ35" i="9" s="1"/>
  <c r="K43" i="9"/>
  <c r="L43" i="9" s="1"/>
  <c r="L48" i="5"/>
  <c r="Q48" i="5"/>
  <c r="T48" i="5"/>
  <c r="O48" i="5"/>
  <c r="R48" i="5"/>
  <c r="M48" i="5"/>
  <c r="J47" i="5"/>
  <c r="C47" i="5" s="1"/>
  <c r="P48" i="5"/>
  <c r="A49" i="5"/>
  <c r="L49" i="5" s="1"/>
  <c r="J42" i="3"/>
  <c r="I43" i="12"/>
  <c r="A49" i="12"/>
  <c r="H44" i="12"/>
  <c r="F44" i="9"/>
  <c r="F44" i="3"/>
  <c r="T40" i="9"/>
  <c r="S40" i="9"/>
  <c r="K40" i="8" s="1"/>
  <c r="N40" i="8" s="1"/>
  <c r="O40" i="8" s="1"/>
  <c r="P40" i="8" s="1"/>
  <c r="U40" i="9"/>
  <c r="AZ40" i="9" s="1"/>
  <c r="BM40" i="9" s="1"/>
  <c r="I43" i="3"/>
  <c r="A49" i="11"/>
  <c r="Z45" i="3"/>
  <c r="A48" i="8"/>
  <c r="B46" i="8" l="1"/>
  <c r="AJ46" i="8" s="1"/>
  <c r="C46" i="8"/>
  <c r="D46" i="8" s="1"/>
  <c r="G46" i="8"/>
  <c r="AK47" i="8"/>
  <c r="AQ48" i="8"/>
  <c r="AP48" i="8"/>
  <c r="AO48" i="8"/>
  <c r="AN48" i="8"/>
  <c r="AU48" i="8"/>
  <c r="AM48" i="8"/>
  <c r="AR48" i="8"/>
  <c r="AT48" i="8"/>
  <c r="AS48" i="8"/>
  <c r="AL48" i="8"/>
  <c r="AV48" i="8"/>
  <c r="AW48" i="8"/>
  <c r="AX48" i="8"/>
  <c r="AY48" i="8"/>
  <c r="AZ48" i="8"/>
  <c r="BA48" i="8"/>
  <c r="BB48" i="8"/>
  <c r="BC48" i="8"/>
  <c r="BD48" i="8"/>
  <c r="BE48" i="8"/>
  <c r="BF48" i="8"/>
  <c r="AD45" i="3"/>
  <c r="AH47" i="23"/>
  <c r="U46" i="12" s="1"/>
  <c r="W39" i="8"/>
  <c r="AK43" i="3"/>
  <c r="T40" i="8"/>
  <c r="S40" i="8" s="1"/>
  <c r="AM40" i="3"/>
  <c r="AZ40" i="3" s="1"/>
  <c r="BA40" i="3" s="1"/>
  <c r="Z40" i="11" s="1"/>
  <c r="BK38" i="9"/>
  <c r="BL38" i="9" s="1"/>
  <c r="AI44" i="3"/>
  <c r="AJ44" i="3"/>
  <c r="AY35" i="3"/>
  <c r="V35" i="11" s="1"/>
  <c r="BH35" i="3"/>
  <c r="BI35" i="3" s="1"/>
  <c r="AA35" i="11" s="1"/>
  <c r="H35" i="11" s="1"/>
  <c r="AL40" i="9"/>
  <c r="AU40" i="9" s="1"/>
  <c r="BV40" i="9" s="1"/>
  <c r="BW40" i="9" s="1"/>
  <c r="O40" i="11" s="1"/>
  <c r="AJ41" i="9"/>
  <c r="AK41" i="9"/>
  <c r="V38" i="8"/>
  <c r="X38" i="8" s="1"/>
  <c r="Y38" i="8" s="1"/>
  <c r="AA38" i="8" s="1"/>
  <c r="AC38" i="8" s="1"/>
  <c r="AG47" i="23"/>
  <c r="W46" i="12" s="1"/>
  <c r="J38" i="8"/>
  <c r="BC39" i="9"/>
  <c r="BQ39" i="9" s="1"/>
  <c r="BR39" i="9" s="1"/>
  <c r="BC40" i="9"/>
  <c r="BQ40" i="9" s="1"/>
  <c r="BR40" i="9" s="1"/>
  <c r="BX39" i="9"/>
  <c r="BY39" i="9" s="1"/>
  <c r="S39" i="11" s="1"/>
  <c r="P39" i="11" s="1"/>
  <c r="BN39" i="9"/>
  <c r="J41" i="9"/>
  <c r="AJ42" i="23" s="1"/>
  <c r="AK42" i="23" s="1"/>
  <c r="Q41" i="9"/>
  <c r="R44" i="9"/>
  <c r="E45" i="12"/>
  <c r="G45" i="3"/>
  <c r="N45" i="3" s="1"/>
  <c r="G45" i="9"/>
  <c r="G46" i="12"/>
  <c r="AD46" i="3"/>
  <c r="A53" i="6"/>
  <c r="AB54" i="22"/>
  <c r="T55" i="22"/>
  <c r="AC57" i="23"/>
  <c r="U58" i="23"/>
  <c r="U56" i="22"/>
  <c r="P55" i="6" s="1"/>
  <c r="AC55" i="22"/>
  <c r="AU47" i="3"/>
  <c r="M46" i="8"/>
  <c r="AR39" i="9"/>
  <c r="P44" i="12"/>
  <c r="B45" i="3"/>
  <c r="K45" i="12"/>
  <c r="AC45" i="3"/>
  <c r="AU39" i="9"/>
  <c r="BV39" i="9" s="1"/>
  <c r="BW39" i="9" s="1"/>
  <c r="O39" i="11" s="1"/>
  <c r="J39" i="8"/>
  <c r="Q39" i="8" s="1"/>
  <c r="V39" i="8"/>
  <c r="AZ39" i="3"/>
  <c r="BA39" i="3" s="1"/>
  <c r="Z39" i="11" s="1"/>
  <c r="X48" i="6"/>
  <c r="V48" i="6"/>
  <c r="U48" i="6"/>
  <c r="T48" i="6"/>
  <c r="Z48" i="6"/>
  <c r="AB48" i="6"/>
  <c r="Y48" i="6"/>
  <c r="AA48" i="6"/>
  <c r="W48" i="6"/>
  <c r="AC48" i="6"/>
  <c r="Q46" i="6"/>
  <c r="AD47" i="17" s="1"/>
  <c r="R46" i="6"/>
  <c r="AA47" i="17" s="1"/>
  <c r="H41" i="3"/>
  <c r="M41" i="3" s="1"/>
  <c r="M41" i="9" s="1"/>
  <c r="S47" i="6"/>
  <c r="P41" i="3"/>
  <c r="AM41" i="3" s="1"/>
  <c r="J42" i="12"/>
  <c r="B42" i="9"/>
  <c r="Q41" i="3"/>
  <c r="AA44" i="7"/>
  <c r="B43" i="9" s="1"/>
  <c r="AD44" i="7"/>
  <c r="AC44" i="7"/>
  <c r="O42" i="12"/>
  <c r="B42" i="12" s="1"/>
  <c r="AH42" i="9"/>
  <c r="AM42" i="9" s="1"/>
  <c r="AG42" i="9"/>
  <c r="M42" i="12"/>
  <c r="P40" i="9"/>
  <c r="AR40" i="9"/>
  <c r="F46" i="6"/>
  <c r="J46" i="6"/>
  <c r="K46" i="6"/>
  <c r="H46" i="6"/>
  <c r="M46" i="6"/>
  <c r="E46" i="6"/>
  <c r="I46" i="6"/>
  <c r="G46" i="6"/>
  <c r="L46" i="6"/>
  <c r="N46" i="6"/>
  <c r="D45" i="6"/>
  <c r="O42" i="3"/>
  <c r="Q42" i="3"/>
  <c r="H42" i="3"/>
  <c r="K42" i="3" s="1"/>
  <c r="P42" i="3"/>
  <c r="AM42" i="3" s="1"/>
  <c r="B44" i="6"/>
  <c r="C44" i="6"/>
  <c r="AI36" i="8"/>
  <c r="Q36" i="12" s="1"/>
  <c r="BW38" i="9"/>
  <c r="AN36" i="3"/>
  <c r="AX36" i="3"/>
  <c r="BB36" i="3"/>
  <c r="BC36" i="3" s="1"/>
  <c r="X36" i="11" s="1"/>
  <c r="I44" i="3"/>
  <c r="K44" i="9"/>
  <c r="AG37" i="8"/>
  <c r="Y37" i="9" s="1"/>
  <c r="AB37" i="9" s="1"/>
  <c r="AQ37" i="9" s="1"/>
  <c r="AS37" i="9" s="1"/>
  <c r="R37" i="8"/>
  <c r="AF37" i="8" s="1"/>
  <c r="B46" i="5"/>
  <c r="AD47" i="23" s="1"/>
  <c r="Z36" i="9"/>
  <c r="AC36" i="9" s="1"/>
  <c r="AT36" i="9" s="1"/>
  <c r="AV36" i="9" s="1"/>
  <c r="Q37" i="8"/>
  <c r="U37" i="3"/>
  <c r="X37" i="3" s="1"/>
  <c r="AO37" i="3" s="1"/>
  <c r="V37" i="3"/>
  <c r="Y37" i="3" s="1"/>
  <c r="AR37" i="3" s="1"/>
  <c r="BF37" i="3" s="1"/>
  <c r="BG37" i="3" s="1"/>
  <c r="W37" i="11" s="1"/>
  <c r="T37" i="3"/>
  <c r="W37" i="3" s="1"/>
  <c r="AL37" i="3" s="1"/>
  <c r="AH38" i="8"/>
  <c r="AA38" i="9" s="1"/>
  <c r="AD38" i="9" s="1"/>
  <c r="AX38" i="9" s="1"/>
  <c r="D47" i="5"/>
  <c r="B47" i="5" s="1"/>
  <c r="AD48" i="23" s="1"/>
  <c r="H47" i="5"/>
  <c r="F47" i="5"/>
  <c r="AF48" i="23" s="1"/>
  <c r="AO47" i="9" s="1"/>
  <c r="M49" i="5"/>
  <c r="I47" i="5"/>
  <c r="AI48" i="23" s="1"/>
  <c r="A50" i="5"/>
  <c r="K50" i="5" s="1"/>
  <c r="G47" i="5"/>
  <c r="E47" i="5"/>
  <c r="AE48" i="23" s="1"/>
  <c r="P49" i="5"/>
  <c r="J48" i="5"/>
  <c r="D48" i="5" s="1"/>
  <c r="V40" i="8"/>
  <c r="J40" i="8"/>
  <c r="K49" i="5"/>
  <c r="R49" i="5"/>
  <c r="Q49" i="5"/>
  <c r="T49" i="5"/>
  <c r="S49" i="5"/>
  <c r="O49" i="5"/>
  <c r="N49" i="5"/>
  <c r="I44" i="12"/>
  <c r="A50" i="12"/>
  <c r="H45" i="12"/>
  <c r="BN40" i="9"/>
  <c r="F45" i="3"/>
  <c r="F45" i="9"/>
  <c r="J43" i="3"/>
  <c r="A50" i="11"/>
  <c r="Z46" i="3"/>
  <c r="A49" i="8"/>
  <c r="B47" i="8" l="1"/>
  <c r="AJ47" i="8" s="1"/>
  <c r="G47" i="8"/>
  <c r="C47" i="8"/>
  <c r="D47" i="8" s="1"/>
  <c r="AO49" i="8"/>
  <c r="AN49" i="8"/>
  <c r="AU49" i="8"/>
  <c r="AM49" i="8"/>
  <c r="AT49" i="8"/>
  <c r="AL49" i="8"/>
  <c r="AS49" i="8"/>
  <c r="AP49" i="8"/>
  <c r="AQ49" i="8"/>
  <c r="AR49" i="8"/>
  <c r="AV49" i="8"/>
  <c r="AW49" i="8"/>
  <c r="AX49" i="8"/>
  <c r="AY49" i="8"/>
  <c r="AZ49" i="8"/>
  <c r="BA49" i="8"/>
  <c r="BB49" i="8"/>
  <c r="BC49" i="8"/>
  <c r="BD49" i="8"/>
  <c r="BE49" i="8"/>
  <c r="BF49" i="8"/>
  <c r="AK49" i="8" s="1"/>
  <c r="AK48" i="8"/>
  <c r="AH48" i="23"/>
  <c r="U47" i="12" s="1"/>
  <c r="X39" i="8"/>
  <c r="Y39" i="8" s="1"/>
  <c r="AD39" i="8" s="1"/>
  <c r="T39" i="3" s="1"/>
  <c r="W39" i="3" s="1"/>
  <c r="AL39" i="3" s="1"/>
  <c r="W40" i="8"/>
  <c r="X40" i="8" s="1"/>
  <c r="Y40" i="8" s="1"/>
  <c r="AA40" i="8" s="1"/>
  <c r="AC40" i="8" s="1"/>
  <c r="AK44" i="3"/>
  <c r="AI45" i="3"/>
  <c r="AJ45" i="3"/>
  <c r="BT40" i="9"/>
  <c r="BU40" i="9" s="1"/>
  <c r="R40" i="11" s="1"/>
  <c r="BK40" i="9"/>
  <c r="BL40" i="9" s="1"/>
  <c r="BT39" i="9"/>
  <c r="BU39" i="9" s="1"/>
  <c r="R39" i="11" s="1"/>
  <c r="BK39" i="9"/>
  <c r="BL39" i="9" s="1"/>
  <c r="AY36" i="3"/>
  <c r="V36" i="11" s="1"/>
  <c r="BH36" i="3"/>
  <c r="BI36" i="3" s="1"/>
  <c r="AA36" i="11" s="1"/>
  <c r="AK42" i="9"/>
  <c r="AJ42" i="9"/>
  <c r="AL41" i="9"/>
  <c r="AD38" i="8"/>
  <c r="T38" i="3" s="1"/>
  <c r="W38" i="3" s="1"/>
  <c r="AL38" i="3" s="1"/>
  <c r="Z38" i="8"/>
  <c r="AE38" i="8" s="1"/>
  <c r="V38" i="3" s="1"/>
  <c r="Y38" i="3" s="1"/>
  <c r="AR38" i="3" s="1"/>
  <c r="BF38" i="3" s="1"/>
  <c r="BG38" i="3" s="1"/>
  <c r="W38" i="11" s="1"/>
  <c r="AG48" i="23"/>
  <c r="W47" i="12" s="1"/>
  <c r="J43" i="9"/>
  <c r="AJ44" i="23" s="1"/>
  <c r="AK44" i="23" s="1"/>
  <c r="Q43" i="9"/>
  <c r="J42" i="9"/>
  <c r="Q42" i="9"/>
  <c r="X41" i="9"/>
  <c r="L41" i="8" s="1"/>
  <c r="W41" i="9"/>
  <c r="BB41" i="9" s="1"/>
  <c r="H41" i="8"/>
  <c r="I41" i="8" s="1"/>
  <c r="F47" i="12"/>
  <c r="E47" i="9"/>
  <c r="E47" i="3"/>
  <c r="R45" i="9"/>
  <c r="G46" i="3"/>
  <c r="N46" i="3" s="1"/>
  <c r="E46" i="12"/>
  <c r="G46" i="9"/>
  <c r="G47" i="12"/>
  <c r="E47" i="12"/>
  <c r="G47" i="9"/>
  <c r="G47" i="3"/>
  <c r="AC58" i="23"/>
  <c r="U59" i="23"/>
  <c r="A54" i="6"/>
  <c r="AB55" i="22"/>
  <c r="T56" i="22"/>
  <c r="U57" i="22"/>
  <c r="P56" i="6" s="1"/>
  <c r="AC56" i="22"/>
  <c r="O38" i="11"/>
  <c r="M47" i="8"/>
  <c r="M48" i="8"/>
  <c r="P45" i="12"/>
  <c r="P46" i="12"/>
  <c r="K46" i="12"/>
  <c r="B46" i="3"/>
  <c r="T41" i="8"/>
  <c r="S41" i="8" s="1"/>
  <c r="H43" i="3"/>
  <c r="K43" i="3" s="1"/>
  <c r="T41" i="9"/>
  <c r="K41" i="3"/>
  <c r="BX40" i="9"/>
  <c r="BY40" i="9" s="1"/>
  <c r="S40" i="11" s="1"/>
  <c r="P40" i="11" s="1"/>
  <c r="S41" i="9"/>
  <c r="K41" i="8" s="1"/>
  <c r="N41" i="8" s="1"/>
  <c r="O41" i="8" s="1"/>
  <c r="P41" i="8" s="1"/>
  <c r="V41" i="9"/>
  <c r="BA41" i="9" s="1"/>
  <c r="L41" i="3"/>
  <c r="N41" i="9" s="1"/>
  <c r="R41" i="3"/>
  <c r="AS41" i="3" s="1"/>
  <c r="O41" i="9"/>
  <c r="D41" i="11" s="1"/>
  <c r="U41" i="9"/>
  <c r="AZ41" i="9" s="1"/>
  <c r="BM41" i="9" s="1"/>
  <c r="Q47" i="6"/>
  <c r="AD48" i="17" s="1"/>
  <c r="R47" i="6"/>
  <c r="AA48" i="17" s="1"/>
  <c r="S48" i="6"/>
  <c r="AC49" i="6"/>
  <c r="AA49" i="6"/>
  <c r="X49" i="6"/>
  <c r="AB49" i="6"/>
  <c r="Z49" i="6"/>
  <c r="Y49" i="6"/>
  <c r="W49" i="6"/>
  <c r="V49" i="6"/>
  <c r="U49" i="6"/>
  <c r="T49" i="6"/>
  <c r="J43" i="12"/>
  <c r="AA45" i="7"/>
  <c r="J44" i="12" s="1"/>
  <c r="AD45" i="7"/>
  <c r="AC45" i="7"/>
  <c r="M43" i="12"/>
  <c r="AG43" i="9"/>
  <c r="AH43" i="9"/>
  <c r="AM43" i="9" s="1"/>
  <c r="O43" i="12"/>
  <c r="B43" i="12" s="1"/>
  <c r="T42" i="8"/>
  <c r="S42" i="8" s="1"/>
  <c r="D46" i="6"/>
  <c r="L47" i="6"/>
  <c r="K47" i="6"/>
  <c r="J47" i="6"/>
  <c r="G47" i="6"/>
  <c r="H47" i="6"/>
  <c r="E47" i="6"/>
  <c r="F47" i="6"/>
  <c r="I47" i="6"/>
  <c r="N47" i="6"/>
  <c r="M47" i="6"/>
  <c r="L42" i="3"/>
  <c r="N42" i="9" s="1"/>
  <c r="R42" i="3"/>
  <c r="AS42" i="3" s="1"/>
  <c r="M42" i="3"/>
  <c r="M42" i="9" s="1"/>
  <c r="Q43" i="3"/>
  <c r="O43" i="3"/>
  <c r="P43" i="3"/>
  <c r="AM43" i="3" s="1"/>
  <c r="B45" i="6"/>
  <c r="C45" i="6"/>
  <c r="BB37" i="3"/>
  <c r="BC37" i="3" s="1"/>
  <c r="X37" i="11" s="1"/>
  <c r="AN37" i="3"/>
  <c r="AX37" i="3"/>
  <c r="I45" i="3"/>
  <c r="J45" i="3" s="1"/>
  <c r="S50" i="5"/>
  <c r="K45" i="9"/>
  <c r="J44" i="3"/>
  <c r="L44" i="9"/>
  <c r="AI37" i="8"/>
  <c r="Q37" i="12" s="1"/>
  <c r="Z37" i="9"/>
  <c r="AC37" i="9" s="1"/>
  <c r="AT37" i="9" s="1"/>
  <c r="AV37" i="9" s="1"/>
  <c r="BI36" i="9"/>
  <c r="BJ36" i="9" s="1"/>
  <c r="Q50" i="5"/>
  <c r="Q38" i="8"/>
  <c r="AG40" i="8"/>
  <c r="Y40" i="9" s="1"/>
  <c r="AB40" i="9" s="1"/>
  <c r="AQ40" i="9" s="1"/>
  <c r="AS40" i="9" s="1"/>
  <c r="AG38" i="8"/>
  <c r="Y38" i="9" s="1"/>
  <c r="AB38" i="9" s="1"/>
  <c r="AQ38" i="9" s="1"/>
  <c r="AS38" i="9" s="1"/>
  <c r="AH39" i="8"/>
  <c r="AA39" i="9" s="1"/>
  <c r="AD39" i="9" s="1"/>
  <c r="AX39" i="9" s="1"/>
  <c r="U38" i="3"/>
  <c r="X38" i="3" s="1"/>
  <c r="AO38" i="3" s="1"/>
  <c r="AG39" i="8"/>
  <c r="Y39" i="9" s="1"/>
  <c r="AB39" i="9" s="1"/>
  <c r="AQ39" i="9" s="1"/>
  <c r="AS39" i="9" s="1"/>
  <c r="R38" i="8"/>
  <c r="AF38" i="8" s="1"/>
  <c r="R39" i="8"/>
  <c r="AF39" i="8" s="1"/>
  <c r="Z39" i="9" s="1"/>
  <c r="AC39" i="9" s="1"/>
  <c r="AT39" i="9" s="1"/>
  <c r="AV39" i="9" s="1"/>
  <c r="A51" i="5"/>
  <c r="N51" i="5" s="1"/>
  <c r="C48" i="5"/>
  <c r="B48" i="5" s="1"/>
  <c r="AD49" i="23" s="1"/>
  <c r="E48" i="5"/>
  <c r="AE49" i="23" s="1"/>
  <c r="G48" i="5"/>
  <c r="T50" i="5"/>
  <c r="I48" i="5"/>
  <c r="AI49" i="23" s="1"/>
  <c r="O50" i="5"/>
  <c r="J49" i="5"/>
  <c r="E49" i="5" s="1"/>
  <c r="AE50" i="23" s="1"/>
  <c r="R50" i="5"/>
  <c r="L50" i="5"/>
  <c r="P50" i="5"/>
  <c r="F48" i="5"/>
  <c r="AF49" i="23" s="1"/>
  <c r="M50" i="5"/>
  <c r="N50" i="5"/>
  <c r="H48" i="5"/>
  <c r="A51" i="12"/>
  <c r="I45" i="12"/>
  <c r="H46" i="12"/>
  <c r="F46" i="9"/>
  <c r="F46" i="3"/>
  <c r="A51" i="11"/>
  <c r="Z47" i="3"/>
  <c r="A50" i="8"/>
  <c r="B49" i="8" l="1"/>
  <c r="AJ49" i="8" s="1"/>
  <c r="G49" i="8"/>
  <c r="C49" i="8"/>
  <c r="D49" i="8" s="1"/>
  <c r="AU50" i="8"/>
  <c r="AM50" i="8"/>
  <c r="AT50" i="8"/>
  <c r="AL50" i="8"/>
  <c r="AS50" i="8"/>
  <c r="AR50" i="8"/>
  <c r="AQ50" i="8"/>
  <c r="AN50" i="8"/>
  <c r="AP50" i="8"/>
  <c r="AO50" i="8"/>
  <c r="AV50" i="8"/>
  <c r="AW50" i="8"/>
  <c r="AX50" i="8"/>
  <c r="AY50" i="8"/>
  <c r="AZ50" i="8"/>
  <c r="BA50" i="8"/>
  <c r="BB50" i="8"/>
  <c r="BC50" i="8"/>
  <c r="BD50" i="8"/>
  <c r="BE50" i="8"/>
  <c r="BF50" i="8"/>
  <c r="AK50" i="8" s="1"/>
  <c r="B48" i="8"/>
  <c r="AJ48" i="8" s="1"/>
  <c r="C48" i="8"/>
  <c r="D48" i="8" s="1"/>
  <c r="G48" i="8"/>
  <c r="AD47" i="3"/>
  <c r="AH49" i="23"/>
  <c r="U48" i="12" s="1"/>
  <c r="H36" i="11"/>
  <c r="AA39" i="8"/>
  <c r="AC39" i="8" s="1"/>
  <c r="U39" i="3" s="1"/>
  <c r="X39" i="3" s="1"/>
  <c r="AO39" i="3" s="1"/>
  <c r="BB39" i="3" s="1"/>
  <c r="BC39" i="3" s="1"/>
  <c r="X39" i="11" s="1"/>
  <c r="Z39" i="8"/>
  <c r="AE39" i="8" s="1"/>
  <c r="V39" i="3" s="1"/>
  <c r="Y39" i="3" s="1"/>
  <c r="AR39" i="3" s="1"/>
  <c r="BF39" i="3" s="1"/>
  <c r="BG39" i="3" s="1"/>
  <c r="W39" i="11" s="1"/>
  <c r="AK45" i="3"/>
  <c r="AJ46" i="3"/>
  <c r="AY37" i="3"/>
  <c r="V37" i="11" s="1"/>
  <c r="BH37" i="3"/>
  <c r="BI37" i="3" s="1"/>
  <c r="AA37" i="11" s="1"/>
  <c r="AL42" i="9"/>
  <c r="AJ43" i="9"/>
  <c r="AK43" i="9"/>
  <c r="W43" i="9"/>
  <c r="BB43" i="9" s="1"/>
  <c r="AG49" i="23"/>
  <c r="W48" i="12" s="1"/>
  <c r="X43" i="9"/>
  <c r="L43" i="8" s="1"/>
  <c r="H42" i="8"/>
  <c r="I42" i="8" s="1"/>
  <c r="BC41" i="9"/>
  <c r="BQ41" i="9" s="1"/>
  <c r="BR41" i="9" s="1"/>
  <c r="X42" i="9"/>
  <c r="L42" i="8" s="1"/>
  <c r="O42" i="9"/>
  <c r="D42" i="11" s="1"/>
  <c r="H43" i="8"/>
  <c r="I43" i="8" s="1"/>
  <c r="W42" i="9"/>
  <c r="BB42" i="9" s="1"/>
  <c r="AJ43" i="23"/>
  <c r="AK43" i="23" s="1"/>
  <c r="AZ41" i="3"/>
  <c r="BA41" i="3" s="1"/>
  <c r="Z41" i="11" s="1"/>
  <c r="BX41" i="9"/>
  <c r="BY41" i="9" s="1"/>
  <c r="S41" i="11" s="1"/>
  <c r="P41" i="11" s="1"/>
  <c r="R47" i="9"/>
  <c r="F48" i="12"/>
  <c r="E48" i="3"/>
  <c r="E48" i="9"/>
  <c r="R46" i="9"/>
  <c r="AO48" i="9"/>
  <c r="G48" i="12"/>
  <c r="G48" i="9"/>
  <c r="G48" i="3"/>
  <c r="E48" i="12"/>
  <c r="E49" i="3"/>
  <c r="F49" i="12"/>
  <c r="E49" i="9"/>
  <c r="AD48" i="3"/>
  <c r="A55" i="6"/>
  <c r="AB56" i="22"/>
  <c r="T57" i="22"/>
  <c r="AC59" i="23"/>
  <c r="U60" i="23"/>
  <c r="U58" i="22"/>
  <c r="P57" i="6" s="1"/>
  <c r="AC57" i="22"/>
  <c r="AU48" i="3"/>
  <c r="AU49" i="3"/>
  <c r="AC46" i="3"/>
  <c r="AI46" i="3" s="1"/>
  <c r="AC47" i="3"/>
  <c r="B47" i="3"/>
  <c r="K47" i="12"/>
  <c r="W41" i="8"/>
  <c r="J41" i="8"/>
  <c r="R41" i="8" s="1"/>
  <c r="AF41" i="8" s="1"/>
  <c r="V41" i="8"/>
  <c r="AR41" i="9"/>
  <c r="AU41" i="9"/>
  <c r="BV41" i="9" s="1"/>
  <c r="BW41" i="9" s="1"/>
  <c r="O41" i="11" s="1"/>
  <c r="P41" i="9"/>
  <c r="BN41" i="9"/>
  <c r="R48" i="6"/>
  <c r="AA49" i="17" s="1"/>
  <c r="Q48" i="6"/>
  <c r="AD49" i="17" s="1"/>
  <c r="AB50" i="6"/>
  <c r="AC50" i="6"/>
  <c r="U50" i="6"/>
  <c r="V50" i="6"/>
  <c r="Z50" i="6"/>
  <c r="W50" i="6"/>
  <c r="X50" i="6"/>
  <c r="AA50" i="6"/>
  <c r="Y50" i="6"/>
  <c r="T50" i="6"/>
  <c r="B44" i="9"/>
  <c r="S49" i="6"/>
  <c r="Q44" i="3"/>
  <c r="AA46" i="7"/>
  <c r="B45" i="9" s="1"/>
  <c r="AD40" i="8"/>
  <c r="T40" i="3" s="1"/>
  <c r="W40" i="3" s="1"/>
  <c r="AL40" i="3" s="1"/>
  <c r="T42" i="9"/>
  <c r="W42" i="8" s="1"/>
  <c r="Z40" i="8"/>
  <c r="AE40" i="8" s="1"/>
  <c r="V40" i="3" s="1"/>
  <c r="Y40" i="3" s="1"/>
  <c r="AR40" i="3" s="1"/>
  <c r="BF40" i="3" s="1"/>
  <c r="BG40" i="3" s="1"/>
  <c r="W40" i="11" s="1"/>
  <c r="AG44" i="9"/>
  <c r="M44" i="12"/>
  <c r="AC46" i="7"/>
  <c r="AD46" i="7"/>
  <c r="O44" i="12"/>
  <c r="B44" i="12" s="1"/>
  <c r="AH44" i="9"/>
  <c r="AM44" i="9" s="1"/>
  <c r="M43" i="3"/>
  <c r="M43" i="9" s="1"/>
  <c r="O43" i="9" s="1"/>
  <c r="D43" i="11" s="1"/>
  <c r="S42" i="9"/>
  <c r="K42" i="8" s="1"/>
  <c r="N42" i="8" s="1"/>
  <c r="O42" i="8" s="1"/>
  <c r="P42" i="8" s="1"/>
  <c r="U42" i="9"/>
  <c r="AZ42" i="9" s="1"/>
  <c r="BM42" i="9" s="1"/>
  <c r="V42" i="9"/>
  <c r="BA42" i="9" s="1"/>
  <c r="J48" i="6"/>
  <c r="L48" i="6"/>
  <c r="K48" i="6"/>
  <c r="M48" i="6"/>
  <c r="I48" i="6"/>
  <c r="E48" i="6"/>
  <c r="F48" i="6"/>
  <c r="G48" i="6"/>
  <c r="H48" i="6"/>
  <c r="N48" i="6"/>
  <c r="D47" i="6"/>
  <c r="P44" i="3"/>
  <c r="AM44" i="3" s="1"/>
  <c r="H44" i="3"/>
  <c r="K44" i="3" s="1"/>
  <c r="O44" i="3"/>
  <c r="P42" i="9"/>
  <c r="T43" i="8"/>
  <c r="S43" i="8" s="1"/>
  <c r="C46" i="6"/>
  <c r="B46" i="6"/>
  <c r="L43" i="3"/>
  <c r="N43" i="9" s="1"/>
  <c r="R43" i="3"/>
  <c r="AS43" i="3" s="1"/>
  <c r="AN39" i="3"/>
  <c r="AX39" i="3"/>
  <c r="BB38" i="3"/>
  <c r="BC38" i="3" s="1"/>
  <c r="X38" i="11" s="1"/>
  <c r="AN38" i="3"/>
  <c r="AX38" i="3"/>
  <c r="L45" i="9"/>
  <c r="K46" i="9"/>
  <c r="S51" i="5"/>
  <c r="BI37" i="9"/>
  <c r="BJ37" i="9" s="1"/>
  <c r="O51" i="5"/>
  <c r="M51" i="5"/>
  <c r="K51" i="5"/>
  <c r="AH40" i="8"/>
  <c r="AA40" i="9" s="1"/>
  <c r="AD40" i="9" s="1"/>
  <c r="AX40" i="9" s="1"/>
  <c r="P51" i="5"/>
  <c r="T51" i="5"/>
  <c r="A52" i="5"/>
  <c r="T52" i="5" s="1"/>
  <c r="R51" i="5"/>
  <c r="Q51" i="5"/>
  <c r="L51" i="5"/>
  <c r="R40" i="8"/>
  <c r="AF40" i="8" s="1"/>
  <c r="Z40" i="9" s="1"/>
  <c r="AC40" i="9" s="1"/>
  <c r="AT40" i="9" s="1"/>
  <c r="AV40" i="9" s="1"/>
  <c r="Q40" i="8"/>
  <c r="AI38" i="8"/>
  <c r="Q38" i="12" s="1"/>
  <c r="Z38" i="9"/>
  <c r="AC38" i="9" s="1"/>
  <c r="AT38" i="9" s="1"/>
  <c r="AV38" i="9" s="1"/>
  <c r="U40" i="3"/>
  <c r="X40" i="3" s="1"/>
  <c r="AO40" i="3" s="1"/>
  <c r="AI39" i="8"/>
  <c r="Q39" i="12" s="1"/>
  <c r="D49" i="5"/>
  <c r="C49" i="5"/>
  <c r="H49" i="5"/>
  <c r="G49" i="5"/>
  <c r="F49" i="5"/>
  <c r="AF50" i="23" s="1"/>
  <c r="AO49" i="9" s="1"/>
  <c r="N47" i="3"/>
  <c r="I49" i="5"/>
  <c r="AI50" i="23" s="1"/>
  <c r="J50" i="5"/>
  <c r="F50" i="5" s="1"/>
  <c r="AF51" i="23" s="1"/>
  <c r="AO50" i="9" s="1"/>
  <c r="BI39" i="9"/>
  <c r="BJ39" i="9" s="1"/>
  <c r="A52" i="12"/>
  <c r="I46" i="12"/>
  <c r="H47" i="12"/>
  <c r="I46" i="3"/>
  <c r="F47" i="9"/>
  <c r="K47" i="9" s="1"/>
  <c r="F47" i="3"/>
  <c r="A52" i="11"/>
  <c r="Z48" i="3"/>
  <c r="A51" i="8"/>
  <c r="B50" i="8" l="1"/>
  <c r="AJ50" i="8" s="1"/>
  <c r="C50" i="8"/>
  <c r="D50" i="8" s="1"/>
  <c r="G50" i="8"/>
  <c r="AS51" i="8"/>
  <c r="AR51" i="8"/>
  <c r="AQ51" i="8"/>
  <c r="AP51" i="8"/>
  <c r="AO51" i="8"/>
  <c r="AT51" i="8"/>
  <c r="AL51" i="8"/>
  <c r="AU51" i="8"/>
  <c r="AN51" i="8"/>
  <c r="AM51" i="8"/>
  <c r="AV51" i="8"/>
  <c r="AW51" i="8"/>
  <c r="AX51" i="8"/>
  <c r="AY51" i="8"/>
  <c r="AZ51" i="8"/>
  <c r="BA51" i="8"/>
  <c r="BB51" i="8"/>
  <c r="BC51" i="8"/>
  <c r="BD51" i="8"/>
  <c r="BE51" i="8"/>
  <c r="BF51" i="8"/>
  <c r="AK51" i="8" s="1"/>
  <c r="AH50" i="23"/>
  <c r="U49" i="12" s="1"/>
  <c r="H37" i="11"/>
  <c r="AK46" i="3"/>
  <c r="AI47" i="3"/>
  <c r="AJ47" i="3"/>
  <c r="AY38" i="3"/>
  <c r="V38" i="11" s="1"/>
  <c r="BH38" i="3"/>
  <c r="BI38" i="3" s="1"/>
  <c r="AA38" i="11" s="1"/>
  <c r="AY39" i="3"/>
  <c r="V39" i="11" s="1"/>
  <c r="BH39" i="3"/>
  <c r="BI39" i="3" s="1"/>
  <c r="AA39" i="11" s="1"/>
  <c r="H39" i="11" s="1"/>
  <c r="BT41" i="9"/>
  <c r="BU41" i="9" s="1"/>
  <c r="R41" i="11" s="1"/>
  <c r="BK41" i="9"/>
  <c r="BL41" i="9" s="1"/>
  <c r="AJ44" i="9"/>
  <c r="AK44" i="9"/>
  <c r="AL43" i="9"/>
  <c r="AG50" i="23"/>
  <c r="W49" i="12" s="1"/>
  <c r="N48" i="3"/>
  <c r="BN42" i="9"/>
  <c r="BX42" i="9"/>
  <c r="BY42" i="9" s="1"/>
  <c r="S42" i="11" s="1"/>
  <c r="P42" i="11" s="1"/>
  <c r="AZ42" i="3"/>
  <c r="BA42" i="3" s="1"/>
  <c r="Z42" i="11" s="1"/>
  <c r="BC42" i="9"/>
  <c r="BQ42" i="9" s="1"/>
  <c r="BR42" i="9" s="1"/>
  <c r="J45" i="9"/>
  <c r="AJ46" i="23" s="1"/>
  <c r="AK46" i="23" s="1"/>
  <c r="Q45" i="9"/>
  <c r="J44" i="9"/>
  <c r="W44" i="9" s="1"/>
  <c r="BB44" i="9" s="1"/>
  <c r="Q44" i="9"/>
  <c r="G49" i="12"/>
  <c r="R48" i="9"/>
  <c r="G50" i="12"/>
  <c r="AC60" i="23"/>
  <c r="U61" i="23"/>
  <c r="A56" i="6"/>
  <c r="AB57" i="22"/>
  <c r="T58" i="22"/>
  <c r="U59" i="22"/>
  <c r="P58" i="6" s="1"/>
  <c r="AC58" i="22"/>
  <c r="M49" i="8"/>
  <c r="P47" i="12"/>
  <c r="AC48" i="3"/>
  <c r="B48" i="3"/>
  <c r="K48" i="12"/>
  <c r="X41" i="8"/>
  <c r="Y41" i="8" s="1"/>
  <c r="AD41" i="8" s="1"/>
  <c r="T41" i="3" s="1"/>
  <c r="W41" i="3" s="1"/>
  <c r="AL41" i="3" s="1"/>
  <c r="J45" i="12"/>
  <c r="AU42" i="9"/>
  <c r="BV42" i="9" s="1"/>
  <c r="BW42" i="9" s="1"/>
  <c r="O42" i="11" s="1"/>
  <c r="S50" i="6"/>
  <c r="AB51" i="6"/>
  <c r="Y51" i="6"/>
  <c r="U51" i="6"/>
  <c r="AC51" i="6"/>
  <c r="Z51" i="6"/>
  <c r="T51" i="6"/>
  <c r="W51" i="6"/>
  <c r="X51" i="6"/>
  <c r="V51" i="6"/>
  <c r="AA51" i="6"/>
  <c r="Q49" i="6"/>
  <c r="AD50" i="17" s="1"/>
  <c r="R49" i="6"/>
  <c r="AA50" i="17" s="1"/>
  <c r="AA47" i="7"/>
  <c r="U43" i="9"/>
  <c r="AZ43" i="9" s="1"/>
  <c r="BM43" i="9" s="1"/>
  <c r="BN43" i="9" s="1"/>
  <c r="V43" i="9"/>
  <c r="BA43" i="9" s="1"/>
  <c r="BC43" i="9" s="1"/>
  <c r="BQ43" i="9" s="1"/>
  <c r="BR43" i="9" s="1"/>
  <c r="S43" i="9"/>
  <c r="K43" i="8" s="1"/>
  <c r="N43" i="8" s="1"/>
  <c r="O43" i="8" s="1"/>
  <c r="P43" i="8" s="1"/>
  <c r="J42" i="8"/>
  <c r="T43" i="9"/>
  <c r="W43" i="8" s="1"/>
  <c r="V42" i="8"/>
  <c r="X42" i="8" s="1"/>
  <c r="Y42" i="8" s="1"/>
  <c r="Z42" i="8" s="1"/>
  <c r="AE42" i="8" s="1"/>
  <c r="AR42" i="9"/>
  <c r="O45" i="12"/>
  <c r="B45" i="12" s="1"/>
  <c r="AH45" i="9"/>
  <c r="AM45" i="9" s="1"/>
  <c r="M45" i="12"/>
  <c r="AG45" i="9"/>
  <c r="AD47" i="7"/>
  <c r="AC47" i="7"/>
  <c r="D48" i="6"/>
  <c r="C48" i="6" s="1"/>
  <c r="BX43" i="9"/>
  <c r="BY43" i="9" s="1"/>
  <c r="S43" i="11" s="1"/>
  <c r="P43" i="11" s="1"/>
  <c r="AZ43" i="3"/>
  <c r="BA43" i="3" s="1"/>
  <c r="Z43" i="11" s="1"/>
  <c r="B47" i="6"/>
  <c r="C47" i="6"/>
  <c r="K49" i="6"/>
  <c r="E49" i="6"/>
  <c r="H49" i="6"/>
  <c r="M49" i="6"/>
  <c r="I49" i="6"/>
  <c r="F49" i="6"/>
  <c r="L49" i="6"/>
  <c r="G49" i="6"/>
  <c r="N49" i="6"/>
  <c r="J49" i="6"/>
  <c r="T44" i="8"/>
  <c r="S44" i="8" s="1"/>
  <c r="P43" i="9"/>
  <c r="H45" i="3"/>
  <c r="P45" i="3"/>
  <c r="AM45" i="3" s="1"/>
  <c r="Q45" i="3"/>
  <c r="O45" i="3"/>
  <c r="L44" i="3"/>
  <c r="N44" i="9" s="1"/>
  <c r="R44" i="3"/>
  <c r="AS44" i="3" s="1"/>
  <c r="M44" i="3"/>
  <c r="M44" i="9" s="1"/>
  <c r="M50" i="8"/>
  <c r="AU50" i="3"/>
  <c r="BB40" i="3"/>
  <c r="BC40" i="3" s="1"/>
  <c r="X40" i="11" s="1"/>
  <c r="AN40" i="3"/>
  <c r="AX40" i="3"/>
  <c r="L46" i="9"/>
  <c r="B49" i="5"/>
  <c r="AD50" i="23" s="1"/>
  <c r="N52" i="5"/>
  <c r="M52" i="5"/>
  <c r="AI40" i="8"/>
  <c r="Q40" i="12" s="1"/>
  <c r="R52" i="5"/>
  <c r="Q52" i="5"/>
  <c r="P52" i="5"/>
  <c r="S52" i="5"/>
  <c r="L52" i="5"/>
  <c r="J51" i="5"/>
  <c r="H51" i="5" s="1"/>
  <c r="A53" i="5"/>
  <c r="R53" i="5" s="1"/>
  <c r="O52" i="5"/>
  <c r="K52" i="5"/>
  <c r="D50" i="5"/>
  <c r="AH41" i="8"/>
  <c r="AA41" i="9" s="1"/>
  <c r="AD41" i="9" s="1"/>
  <c r="AX41" i="9" s="1"/>
  <c r="AG41" i="8"/>
  <c r="Y41" i="9" s="1"/>
  <c r="AB41" i="9" s="1"/>
  <c r="AQ41" i="9" s="1"/>
  <c r="AS41" i="9" s="1"/>
  <c r="Q41" i="8"/>
  <c r="BI38" i="9"/>
  <c r="BJ38" i="9" s="1"/>
  <c r="H38" i="11" s="1"/>
  <c r="AG42" i="8"/>
  <c r="Y42" i="9" s="1"/>
  <c r="AB42" i="9" s="1"/>
  <c r="AQ42" i="9" s="1"/>
  <c r="I50" i="5"/>
  <c r="AI51" i="23" s="1"/>
  <c r="H50" i="5"/>
  <c r="G50" i="5"/>
  <c r="C50" i="5"/>
  <c r="E50" i="5"/>
  <c r="AE51" i="23" s="1"/>
  <c r="BI40" i="9"/>
  <c r="BJ40" i="9" s="1"/>
  <c r="Z41" i="9"/>
  <c r="AC41" i="9" s="1"/>
  <c r="AT41" i="9" s="1"/>
  <c r="AV41" i="9" s="1"/>
  <c r="J46" i="3"/>
  <c r="A53" i="12"/>
  <c r="I47" i="12"/>
  <c r="H48" i="12"/>
  <c r="L47" i="9"/>
  <c r="I47" i="3"/>
  <c r="F48" i="9"/>
  <c r="K48" i="9" s="1"/>
  <c r="F48" i="3"/>
  <c r="A53" i="11"/>
  <c r="Z49" i="3"/>
  <c r="A52" i="8"/>
  <c r="B51" i="8" l="1"/>
  <c r="AJ51" i="8" s="1"/>
  <c r="G51" i="8"/>
  <c r="C51" i="8"/>
  <c r="D51" i="8" s="1"/>
  <c r="AQ52" i="8"/>
  <c r="AP52" i="8"/>
  <c r="AO52" i="8"/>
  <c r="AN52" i="8"/>
  <c r="AU52" i="8"/>
  <c r="AM52" i="8"/>
  <c r="AR52" i="8"/>
  <c r="AS52" i="8"/>
  <c r="AL52" i="8"/>
  <c r="AT52" i="8"/>
  <c r="AV52" i="8"/>
  <c r="AW52" i="8"/>
  <c r="AX52" i="8"/>
  <c r="AY52" i="8"/>
  <c r="AZ52" i="8"/>
  <c r="BA52" i="8"/>
  <c r="BB52" i="8"/>
  <c r="BC52" i="8"/>
  <c r="BD52" i="8"/>
  <c r="BE52" i="8"/>
  <c r="BF52" i="8"/>
  <c r="AK52" i="8" s="1"/>
  <c r="AD49" i="3"/>
  <c r="AH52" i="23"/>
  <c r="U51" i="12" s="1"/>
  <c r="AH51" i="23"/>
  <c r="U50" i="12" s="1"/>
  <c r="AK47" i="3"/>
  <c r="AI48" i="3"/>
  <c r="AJ48" i="3"/>
  <c r="BT42" i="9"/>
  <c r="BU42" i="9" s="1"/>
  <c r="R42" i="11" s="1"/>
  <c r="BK42" i="9"/>
  <c r="BL42" i="9" s="1"/>
  <c r="AY40" i="3"/>
  <c r="V40" i="11" s="1"/>
  <c r="BH40" i="3"/>
  <c r="BI40" i="3" s="1"/>
  <c r="AA40" i="11" s="1"/>
  <c r="H40" i="11" s="1"/>
  <c r="AL44" i="9"/>
  <c r="AK45" i="9"/>
  <c r="AJ45" i="9"/>
  <c r="W45" i="9"/>
  <c r="BB45" i="9" s="1"/>
  <c r="X45" i="9"/>
  <c r="L45" i="8" s="1"/>
  <c r="AG51" i="23"/>
  <c r="W50" i="12" s="1"/>
  <c r="H45" i="8"/>
  <c r="I45" i="8" s="1"/>
  <c r="X44" i="9"/>
  <c r="L44" i="8" s="1"/>
  <c r="H44" i="8"/>
  <c r="I44" i="8" s="1"/>
  <c r="AJ45" i="23"/>
  <c r="AK45" i="23" s="1"/>
  <c r="AD50" i="3"/>
  <c r="AD51" i="3"/>
  <c r="E50" i="3"/>
  <c r="F50" i="12"/>
  <c r="E50" i="9"/>
  <c r="G49" i="3"/>
  <c r="N49" i="3" s="1"/>
  <c r="E49" i="12"/>
  <c r="G49" i="9"/>
  <c r="AC61" i="23"/>
  <c r="U62" i="23"/>
  <c r="A57" i="6"/>
  <c r="AB58" i="22"/>
  <c r="T59" i="22"/>
  <c r="U60" i="22"/>
  <c r="P59" i="6" s="1"/>
  <c r="AC59" i="22"/>
  <c r="P48" i="12"/>
  <c r="AA41" i="8"/>
  <c r="AC41" i="8" s="1"/>
  <c r="U41" i="3" s="1"/>
  <c r="X41" i="3" s="1"/>
  <c r="AO41" i="3" s="1"/>
  <c r="BB41" i="3" s="1"/>
  <c r="BC41" i="3" s="1"/>
  <c r="X41" i="11" s="1"/>
  <c r="AC49" i="3"/>
  <c r="B49" i="3"/>
  <c r="K49" i="12"/>
  <c r="Z41" i="8"/>
  <c r="AE41" i="8" s="1"/>
  <c r="V41" i="3" s="1"/>
  <c r="Y41" i="3" s="1"/>
  <c r="AR41" i="3" s="1"/>
  <c r="BF41" i="3" s="1"/>
  <c r="BG41" i="3" s="1"/>
  <c r="W41" i="11" s="1"/>
  <c r="J46" i="12"/>
  <c r="X52" i="6"/>
  <c r="AB52" i="6"/>
  <c r="Z52" i="6"/>
  <c r="Y52" i="6"/>
  <c r="T52" i="6"/>
  <c r="V52" i="6"/>
  <c r="U52" i="6"/>
  <c r="AC52" i="6"/>
  <c r="AA52" i="6"/>
  <c r="W52" i="6"/>
  <c r="S51" i="6"/>
  <c r="R50" i="6"/>
  <c r="AA51" i="17" s="1"/>
  <c r="Q50" i="6"/>
  <c r="AD51" i="17" s="1"/>
  <c r="B46" i="9"/>
  <c r="AA49" i="7"/>
  <c r="J48" i="12" s="1"/>
  <c r="AA48" i="7"/>
  <c r="J47" i="12" s="1"/>
  <c r="AR43" i="9"/>
  <c r="J43" i="8"/>
  <c r="AU43" i="9"/>
  <c r="BV43" i="9" s="1"/>
  <c r="BW43" i="9" s="1"/>
  <c r="O43" i="11" s="1"/>
  <c r="AS42" i="9"/>
  <c r="V43" i="8"/>
  <c r="X43" i="8" s="1"/>
  <c r="Y43" i="8" s="1"/>
  <c r="B48" i="6"/>
  <c r="AD42" i="8"/>
  <c r="T42" i="3" s="1"/>
  <c r="W42" i="3" s="1"/>
  <c r="AL42" i="3" s="1"/>
  <c r="AD48" i="7"/>
  <c r="AC48" i="7"/>
  <c r="M46" i="12"/>
  <c r="AG46" i="9"/>
  <c r="AH46" i="9"/>
  <c r="AM46" i="9" s="1"/>
  <c r="O46" i="12"/>
  <c r="B46" i="12" s="1"/>
  <c r="AA42" i="8"/>
  <c r="AC42" i="8" s="1"/>
  <c r="U42" i="3" s="1"/>
  <c r="X42" i="3" s="1"/>
  <c r="AO42" i="3" s="1"/>
  <c r="S44" i="9"/>
  <c r="K44" i="8" s="1"/>
  <c r="V44" i="9"/>
  <c r="BA44" i="9" s="1"/>
  <c r="BC44" i="9" s="1"/>
  <c r="BQ44" i="9" s="1"/>
  <c r="U44" i="9"/>
  <c r="AZ44" i="9" s="1"/>
  <c r="BM44" i="9" s="1"/>
  <c r="O44" i="9"/>
  <c r="D44" i="11" s="1"/>
  <c r="T44" i="9"/>
  <c r="W44" i="8" s="1"/>
  <c r="M50" i="6"/>
  <c r="F50" i="6"/>
  <c r="J50" i="6"/>
  <c r="I50" i="6"/>
  <c r="L50" i="6"/>
  <c r="H50" i="6"/>
  <c r="E50" i="6"/>
  <c r="G50" i="6"/>
  <c r="K50" i="6"/>
  <c r="N50" i="6"/>
  <c r="D49" i="6"/>
  <c r="P44" i="9"/>
  <c r="O46" i="3"/>
  <c r="H46" i="3"/>
  <c r="M46" i="3" s="1"/>
  <c r="M46" i="9" s="1"/>
  <c r="Q46" i="3"/>
  <c r="P46" i="3"/>
  <c r="AM46" i="3" s="1"/>
  <c r="T45" i="8"/>
  <c r="S45" i="8" s="1"/>
  <c r="L45" i="3"/>
  <c r="N45" i="9" s="1"/>
  <c r="M45" i="3"/>
  <c r="M45" i="9" s="1"/>
  <c r="K45" i="3"/>
  <c r="R45" i="3"/>
  <c r="AS45" i="3" s="1"/>
  <c r="M51" i="8"/>
  <c r="AU51" i="3"/>
  <c r="AN41" i="3"/>
  <c r="AX41" i="3"/>
  <c r="Q53" i="5"/>
  <c r="S53" i="5"/>
  <c r="B50" i="5"/>
  <c r="AD51" i="23" s="1"/>
  <c r="K53" i="5"/>
  <c r="T53" i="5"/>
  <c r="J52" i="5"/>
  <c r="C52" i="5" s="1"/>
  <c r="D51" i="5"/>
  <c r="L53" i="5"/>
  <c r="O53" i="5"/>
  <c r="P53" i="5"/>
  <c r="F51" i="5"/>
  <c r="AF52" i="23" s="1"/>
  <c r="AO51" i="9" s="1"/>
  <c r="N53" i="5"/>
  <c r="G51" i="5"/>
  <c r="A54" i="5"/>
  <c r="Q54" i="5" s="1"/>
  <c r="C51" i="5"/>
  <c r="M53" i="5"/>
  <c r="I51" i="5"/>
  <c r="AI52" i="23" s="1"/>
  <c r="E51" i="5"/>
  <c r="AE52" i="23" s="1"/>
  <c r="AI41" i="8"/>
  <c r="Q41" i="12" s="1"/>
  <c r="Q42" i="8"/>
  <c r="AH42" i="8"/>
  <c r="AA42" i="9" s="1"/>
  <c r="AD42" i="9" s="1"/>
  <c r="AX42" i="9" s="1"/>
  <c r="R42" i="8"/>
  <c r="AF42" i="8" s="1"/>
  <c r="V42" i="3"/>
  <c r="Y42" i="3" s="1"/>
  <c r="AR42" i="3" s="1"/>
  <c r="BF42" i="3" s="1"/>
  <c r="BG42" i="3" s="1"/>
  <c r="W42" i="11" s="1"/>
  <c r="AH43" i="8"/>
  <c r="AA43" i="9" s="1"/>
  <c r="AD43" i="9" s="1"/>
  <c r="AX43" i="9" s="1"/>
  <c r="BI41" i="9"/>
  <c r="BJ41" i="9" s="1"/>
  <c r="L48" i="9"/>
  <c r="J47" i="3"/>
  <c r="I48" i="12"/>
  <c r="A54" i="12"/>
  <c r="H49" i="12"/>
  <c r="F49" i="9"/>
  <c r="F49" i="3"/>
  <c r="I48" i="3"/>
  <c r="A54" i="11"/>
  <c r="Z50" i="3"/>
  <c r="A53" i="8"/>
  <c r="B52" i="8" l="1"/>
  <c r="AJ52" i="8" s="1"/>
  <c r="C52" i="8"/>
  <c r="D52" i="8" s="1"/>
  <c r="G52" i="8"/>
  <c r="AO53" i="8"/>
  <c r="AN53" i="8"/>
  <c r="AU53" i="8"/>
  <c r="AM53" i="8"/>
  <c r="AT53" i="8"/>
  <c r="AL53" i="8"/>
  <c r="AS53" i="8"/>
  <c r="AP53" i="8"/>
  <c r="AR53" i="8"/>
  <c r="AQ53" i="8"/>
  <c r="AV53" i="8"/>
  <c r="AW53" i="8"/>
  <c r="AX53" i="8"/>
  <c r="AY53" i="8"/>
  <c r="AZ53" i="8"/>
  <c r="BA53" i="8"/>
  <c r="BB53" i="8"/>
  <c r="BC53" i="8"/>
  <c r="BD53" i="8"/>
  <c r="BE53" i="8"/>
  <c r="BF53" i="8"/>
  <c r="AK53" i="8" s="1"/>
  <c r="AK48" i="3"/>
  <c r="AI49" i="3"/>
  <c r="AJ49" i="3"/>
  <c r="AY41" i="3"/>
  <c r="V41" i="11" s="1"/>
  <c r="BH41" i="3"/>
  <c r="BI41" i="3" s="1"/>
  <c r="AA41" i="11" s="1"/>
  <c r="H41" i="11" s="1"/>
  <c r="BT43" i="9"/>
  <c r="BU43" i="9" s="1"/>
  <c r="R43" i="11" s="1"/>
  <c r="BK43" i="9"/>
  <c r="BL43" i="9" s="1"/>
  <c r="AK46" i="9"/>
  <c r="AJ46" i="9"/>
  <c r="AL45" i="9"/>
  <c r="AG52" i="23"/>
  <c r="W51" i="12" s="1"/>
  <c r="AZ44" i="3"/>
  <c r="BA44" i="3" s="1"/>
  <c r="Z44" i="11" s="1"/>
  <c r="BX44" i="9"/>
  <c r="BY44" i="9" s="1"/>
  <c r="S44" i="11" s="1"/>
  <c r="P44" i="11" s="1"/>
  <c r="J46" i="9"/>
  <c r="W46" i="9" s="1"/>
  <c r="BB46" i="9" s="1"/>
  <c r="Q46" i="9"/>
  <c r="G50" i="9"/>
  <c r="E50" i="12"/>
  <c r="G50" i="3"/>
  <c r="N50" i="3" s="1"/>
  <c r="R49" i="9"/>
  <c r="E51" i="9"/>
  <c r="F51" i="12"/>
  <c r="E51" i="3"/>
  <c r="A58" i="6"/>
  <c r="AB59" i="22"/>
  <c r="T60" i="22"/>
  <c r="AC62" i="23"/>
  <c r="U63" i="23"/>
  <c r="U61" i="22"/>
  <c r="P60" i="6" s="1"/>
  <c r="AC60" i="22"/>
  <c r="P49" i="12"/>
  <c r="AC50" i="3"/>
  <c r="K50" i="12"/>
  <c r="B50" i="3"/>
  <c r="B48" i="9"/>
  <c r="Q51" i="6"/>
  <c r="AD52" i="17" s="1"/>
  <c r="R51" i="6"/>
  <c r="AA52" i="17" s="1"/>
  <c r="AB53" i="6"/>
  <c r="Z53" i="6"/>
  <c r="U53" i="6"/>
  <c r="W53" i="6"/>
  <c r="AA53" i="6"/>
  <c r="T53" i="6"/>
  <c r="Y53" i="6"/>
  <c r="V53" i="6"/>
  <c r="AC53" i="6"/>
  <c r="X53" i="6"/>
  <c r="S52" i="6"/>
  <c r="Q48" i="3"/>
  <c r="O47" i="3"/>
  <c r="B47" i="9"/>
  <c r="AC49" i="7"/>
  <c r="AD49" i="7"/>
  <c r="AD43" i="8"/>
  <c r="T43" i="3" s="1"/>
  <c r="W43" i="3" s="1"/>
  <c r="AL43" i="3" s="1"/>
  <c r="AA43" i="8"/>
  <c r="AC43" i="8" s="1"/>
  <c r="U43" i="3" s="1"/>
  <c r="X43" i="3" s="1"/>
  <c r="AO43" i="3" s="1"/>
  <c r="O48" i="3"/>
  <c r="Z43" i="8"/>
  <c r="AE43" i="8" s="1"/>
  <c r="V43" i="3" s="1"/>
  <c r="Y43" i="3" s="1"/>
  <c r="AR43" i="3" s="1"/>
  <c r="BF43" i="3" s="1"/>
  <c r="BG43" i="3" s="1"/>
  <c r="W43" i="11" s="1"/>
  <c r="AR44" i="9"/>
  <c r="M47" i="12"/>
  <c r="AG47" i="9"/>
  <c r="O47" i="12"/>
  <c r="B47" i="12" s="1"/>
  <c r="AH47" i="9"/>
  <c r="AM47" i="9" s="1"/>
  <c r="O45" i="9"/>
  <c r="D45" i="11" s="1"/>
  <c r="U45" i="9"/>
  <c r="AZ45" i="9" s="1"/>
  <c r="BM45" i="9" s="1"/>
  <c r="S45" i="9"/>
  <c r="K45" i="8" s="1"/>
  <c r="V45" i="9"/>
  <c r="BA45" i="9" s="1"/>
  <c r="BC45" i="9" s="1"/>
  <c r="BQ45" i="9" s="1"/>
  <c r="T45" i="9"/>
  <c r="W45" i="8" s="1"/>
  <c r="C49" i="6"/>
  <c r="B49" i="6"/>
  <c r="E51" i="6"/>
  <c r="I51" i="6"/>
  <c r="J51" i="6"/>
  <c r="N51" i="6"/>
  <c r="H51" i="6"/>
  <c r="M51" i="6"/>
  <c r="K51" i="6"/>
  <c r="G51" i="6"/>
  <c r="L51" i="6"/>
  <c r="F51" i="6"/>
  <c r="K46" i="3"/>
  <c r="BX45" i="9"/>
  <c r="AZ45" i="3"/>
  <c r="BA45" i="3" s="1"/>
  <c r="Z45" i="11" s="1"/>
  <c r="D50" i="6"/>
  <c r="P45" i="9"/>
  <c r="AU44" i="9"/>
  <c r="R46" i="3"/>
  <c r="AS46" i="3" s="1"/>
  <c r="L46" i="3"/>
  <c r="N46" i="9" s="1"/>
  <c r="BN44" i="9"/>
  <c r="BR44" i="9"/>
  <c r="T46" i="8"/>
  <c r="S46" i="8" s="1"/>
  <c r="N44" i="8"/>
  <c r="O44" i="8" s="1"/>
  <c r="J44" i="8"/>
  <c r="M52" i="8"/>
  <c r="AU52" i="3"/>
  <c r="BB42" i="3"/>
  <c r="BC42" i="3" s="1"/>
  <c r="X42" i="11" s="1"/>
  <c r="AN42" i="3"/>
  <c r="AX42" i="3"/>
  <c r="H52" i="5"/>
  <c r="B51" i="5"/>
  <c r="AD52" i="23" s="1"/>
  <c r="N54" i="5"/>
  <c r="G52" i="5"/>
  <c r="E52" i="5"/>
  <c r="AE53" i="23" s="1"/>
  <c r="F52" i="5"/>
  <c r="AF53" i="23" s="1"/>
  <c r="AO52" i="9" s="1"/>
  <c r="D52" i="5"/>
  <c r="B52" i="5" s="1"/>
  <c r="AD53" i="23" s="1"/>
  <c r="I52" i="5"/>
  <c r="AI53" i="23" s="1"/>
  <c r="J53" i="5"/>
  <c r="F53" i="5" s="1"/>
  <c r="AF54" i="23" s="1"/>
  <c r="AO53" i="9" s="1"/>
  <c r="M54" i="5"/>
  <c r="S54" i="5"/>
  <c r="O54" i="5"/>
  <c r="A55" i="5"/>
  <c r="N55" i="5" s="1"/>
  <c r="T54" i="5"/>
  <c r="P54" i="5"/>
  <c r="L54" i="5"/>
  <c r="K54" i="5"/>
  <c r="R54" i="5"/>
  <c r="AI42" i="8"/>
  <c r="Q42" i="12" s="1"/>
  <c r="Z42" i="9"/>
  <c r="AC42" i="9" s="1"/>
  <c r="AT42" i="9" s="1"/>
  <c r="AV42" i="9" s="1"/>
  <c r="Q43" i="8"/>
  <c r="R43" i="8"/>
  <c r="AF43" i="8" s="1"/>
  <c r="Z43" i="9" s="1"/>
  <c r="AC43" i="9" s="1"/>
  <c r="AT43" i="9" s="1"/>
  <c r="AV43" i="9" s="1"/>
  <c r="AG43" i="8"/>
  <c r="Y43" i="9" s="1"/>
  <c r="AB43" i="9" s="1"/>
  <c r="AQ43" i="9" s="1"/>
  <c r="AS43" i="9" s="1"/>
  <c r="A55" i="12"/>
  <c r="I49" i="12"/>
  <c r="H50" i="12"/>
  <c r="I49" i="3"/>
  <c r="F50" i="9"/>
  <c r="F50" i="3"/>
  <c r="J48" i="3"/>
  <c r="K49" i="9"/>
  <c r="A55" i="11"/>
  <c r="A54" i="8"/>
  <c r="B53" i="8" l="1"/>
  <c r="AJ53" i="8" s="1"/>
  <c r="G53" i="8"/>
  <c r="C53" i="8"/>
  <c r="D53" i="8" s="1"/>
  <c r="AU54" i="8"/>
  <c r="AM54" i="8"/>
  <c r="AT54" i="8"/>
  <c r="AL54" i="8"/>
  <c r="AS54" i="8"/>
  <c r="AR54" i="8"/>
  <c r="AQ54" i="8"/>
  <c r="AN54" i="8"/>
  <c r="AP54" i="8"/>
  <c r="AO54" i="8"/>
  <c r="AV54" i="8"/>
  <c r="AW54" i="8"/>
  <c r="AX54" i="8"/>
  <c r="AY54" i="8"/>
  <c r="AZ54" i="8"/>
  <c r="BA54" i="8"/>
  <c r="BB54" i="8"/>
  <c r="BC54" i="8"/>
  <c r="BD54" i="8"/>
  <c r="BE54" i="8"/>
  <c r="BF54" i="8"/>
  <c r="AK54" i="8" s="1"/>
  <c r="AH53" i="23"/>
  <c r="U52" i="12" s="1"/>
  <c r="AK49" i="3"/>
  <c r="AI50" i="3"/>
  <c r="AJ50" i="3"/>
  <c r="BT44" i="9"/>
  <c r="BU44" i="9" s="1"/>
  <c r="R44" i="11" s="1"/>
  <c r="BK44" i="9"/>
  <c r="BL44" i="9" s="1"/>
  <c r="AY42" i="3"/>
  <c r="V42" i="11" s="1"/>
  <c r="BH42" i="3"/>
  <c r="BI42" i="3" s="1"/>
  <c r="AA42" i="11" s="1"/>
  <c r="AL46" i="9"/>
  <c r="AK47" i="9"/>
  <c r="AJ47" i="9"/>
  <c r="AG53" i="23"/>
  <c r="W52" i="12" s="1"/>
  <c r="S46" i="9"/>
  <c r="K46" i="8" s="1"/>
  <c r="N46" i="8" s="1"/>
  <c r="O46" i="8" s="1"/>
  <c r="P46" i="8" s="1"/>
  <c r="T46" i="9"/>
  <c r="U46" i="9"/>
  <c r="AZ46" i="9" s="1"/>
  <c r="BM46" i="9" s="1"/>
  <c r="V46" i="9"/>
  <c r="BA46" i="9" s="1"/>
  <c r="BC46" i="9" s="1"/>
  <c r="BQ46" i="9" s="1"/>
  <c r="H46" i="8"/>
  <c r="I46" i="8" s="1"/>
  <c r="J47" i="9"/>
  <c r="X47" i="9" s="1"/>
  <c r="L47" i="8" s="1"/>
  <c r="Q47" i="9"/>
  <c r="AJ47" i="23"/>
  <c r="AK47" i="23" s="1"/>
  <c r="O46" i="9"/>
  <c r="D46" i="11" s="1"/>
  <c r="X46" i="9"/>
  <c r="L46" i="8" s="1"/>
  <c r="J48" i="9"/>
  <c r="AJ49" i="23" s="1"/>
  <c r="AK49" i="23" s="1"/>
  <c r="Q48" i="9"/>
  <c r="AD52" i="3"/>
  <c r="G53" i="12"/>
  <c r="G52" i="12"/>
  <c r="R50" i="9"/>
  <c r="E51" i="12"/>
  <c r="G51" i="3"/>
  <c r="N51" i="3" s="1"/>
  <c r="G51" i="9"/>
  <c r="G52" i="3"/>
  <c r="E52" i="12"/>
  <c r="G52" i="9"/>
  <c r="E52" i="3"/>
  <c r="E52" i="9"/>
  <c r="F52" i="12"/>
  <c r="G51" i="12"/>
  <c r="Z51" i="3"/>
  <c r="AC63" i="23"/>
  <c r="U64" i="23"/>
  <c r="A59" i="6"/>
  <c r="AB60" i="22"/>
  <c r="T61" i="22"/>
  <c r="U62" i="22"/>
  <c r="P61" i="6" s="1"/>
  <c r="AC61" i="22"/>
  <c r="P50" i="12"/>
  <c r="K51" i="12"/>
  <c r="B51" i="3"/>
  <c r="P51" i="12"/>
  <c r="H47" i="3"/>
  <c r="M47" i="3" s="1"/>
  <c r="M47" i="9" s="1"/>
  <c r="P47" i="3"/>
  <c r="AM47" i="3" s="1"/>
  <c r="Q47" i="3"/>
  <c r="AB54" i="6"/>
  <c r="Z54" i="6"/>
  <c r="W54" i="6"/>
  <c r="V54" i="6"/>
  <c r="U54" i="6"/>
  <c r="T54" i="6"/>
  <c r="Y54" i="6"/>
  <c r="AC54" i="6"/>
  <c r="X54" i="6"/>
  <c r="AA54" i="6"/>
  <c r="H48" i="3"/>
  <c r="S53" i="6"/>
  <c r="P48" i="3"/>
  <c r="R52" i="6"/>
  <c r="AA53" i="17" s="1"/>
  <c r="Q52" i="6"/>
  <c r="AD53" i="17" s="1"/>
  <c r="AH48" i="9"/>
  <c r="AM48" i="9" s="1"/>
  <c r="O48" i="12"/>
  <c r="B48" i="12" s="1"/>
  <c r="AA50" i="7"/>
  <c r="B49" i="9" s="1"/>
  <c r="M48" i="12"/>
  <c r="AG48" i="9"/>
  <c r="AR45" i="9"/>
  <c r="AC50" i="7"/>
  <c r="AD50" i="7"/>
  <c r="AU45" i="9"/>
  <c r="BV45" i="9" s="1"/>
  <c r="BW45" i="9" s="1"/>
  <c r="O45" i="11" s="1"/>
  <c r="BV44" i="9"/>
  <c r="D51" i="6"/>
  <c r="C50" i="6"/>
  <c r="B50" i="6"/>
  <c r="I52" i="6"/>
  <c r="H52" i="6"/>
  <c r="E52" i="6"/>
  <c r="G52" i="6"/>
  <c r="J52" i="6"/>
  <c r="N52" i="6"/>
  <c r="F52" i="6"/>
  <c r="L52" i="6"/>
  <c r="K52" i="6"/>
  <c r="M52" i="6"/>
  <c r="P44" i="8"/>
  <c r="V44" i="8"/>
  <c r="X44" i="8" s="1"/>
  <c r="Y44" i="8" s="1"/>
  <c r="N45" i="8"/>
  <c r="O45" i="8" s="1"/>
  <c r="J45" i="8"/>
  <c r="BY45" i="9"/>
  <c r="S45" i="11" s="1"/>
  <c r="P45" i="11" s="1"/>
  <c r="BR45" i="9"/>
  <c r="BN45" i="9"/>
  <c r="P46" i="9"/>
  <c r="M53" i="8"/>
  <c r="AU53" i="3"/>
  <c r="BB43" i="3"/>
  <c r="BC43" i="3" s="1"/>
  <c r="X43" i="11" s="1"/>
  <c r="AN43" i="3"/>
  <c r="AX43" i="3"/>
  <c r="K50" i="9"/>
  <c r="P55" i="5"/>
  <c r="R55" i="5"/>
  <c r="O55" i="5"/>
  <c r="M55" i="5"/>
  <c r="A56" i="5"/>
  <c r="M56" i="5" s="1"/>
  <c r="L55" i="5"/>
  <c r="G53" i="5"/>
  <c r="I53" i="5"/>
  <c r="AI54" i="23" s="1"/>
  <c r="E53" i="5"/>
  <c r="AE54" i="23" s="1"/>
  <c r="D53" i="5"/>
  <c r="T55" i="5"/>
  <c r="S55" i="5"/>
  <c r="Q55" i="5"/>
  <c r="H53" i="5"/>
  <c r="J54" i="5"/>
  <c r="H54" i="5" s="1"/>
  <c r="K55" i="5"/>
  <c r="C53" i="5"/>
  <c r="BI42" i="9"/>
  <c r="BJ42" i="9" s="1"/>
  <c r="AI43" i="8"/>
  <c r="Q43" i="12" s="1"/>
  <c r="BI43" i="9"/>
  <c r="BJ43" i="9" s="1"/>
  <c r="J49" i="3"/>
  <c r="A56" i="12"/>
  <c r="I50" i="12"/>
  <c r="H51" i="12"/>
  <c r="L49" i="9"/>
  <c r="I50" i="3"/>
  <c r="F51" i="9"/>
  <c r="F51" i="3"/>
  <c r="A56" i="11"/>
  <c r="Z52" i="3"/>
  <c r="A55" i="8"/>
  <c r="B54" i="8" l="1"/>
  <c r="AJ54" i="8" s="1"/>
  <c r="C54" i="8"/>
  <c r="D54" i="8" s="1"/>
  <c r="G54" i="8"/>
  <c r="AS55" i="8"/>
  <c r="AR55" i="8"/>
  <c r="AQ55" i="8"/>
  <c r="AP55" i="8"/>
  <c r="AO55" i="8"/>
  <c r="AT55" i="8"/>
  <c r="AL55" i="8"/>
  <c r="AU55" i="8"/>
  <c r="AN55" i="8"/>
  <c r="AM55" i="8"/>
  <c r="AV55" i="8"/>
  <c r="AW55" i="8"/>
  <c r="AX55" i="8"/>
  <c r="AY55" i="8"/>
  <c r="AZ55" i="8"/>
  <c r="BA55" i="8"/>
  <c r="BB55" i="8"/>
  <c r="BC55" i="8"/>
  <c r="BD55" i="8"/>
  <c r="BE55" i="8"/>
  <c r="BF55" i="8"/>
  <c r="AK55" i="8" s="1"/>
  <c r="AH54" i="23"/>
  <c r="U53" i="12" s="1"/>
  <c r="AH55" i="23"/>
  <c r="U54" i="12" s="1"/>
  <c r="H42" i="11"/>
  <c r="AK50" i="3"/>
  <c r="T48" i="8"/>
  <c r="S48" i="8" s="1"/>
  <c r="AM48" i="3"/>
  <c r="AU46" i="9"/>
  <c r="BV46" i="9" s="1"/>
  <c r="BW46" i="9" s="1"/>
  <c r="O46" i="11" s="1"/>
  <c r="AJ51" i="3"/>
  <c r="BT45" i="9"/>
  <c r="BU45" i="9" s="1"/>
  <c r="R45" i="11" s="1"/>
  <c r="BK45" i="9"/>
  <c r="BL45" i="9" s="1"/>
  <c r="AY43" i="3"/>
  <c r="V43" i="11" s="1"/>
  <c r="BH43" i="3"/>
  <c r="BI43" i="3" s="1"/>
  <c r="AA43" i="11" s="1"/>
  <c r="H43" i="11" s="1"/>
  <c r="AL47" i="9"/>
  <c r="AJ48" i="9"/>
  <c r="AK48" i="9"/>
  <c r="J46" i="8"/>
  <c r="V46" i="8"/>
  <c r="AR46" i="9"/>
  <c r="W46" i="8"/>
  <c r="AG54" i="23"/>
  <c r="W53" i="12" s="1"/>
  <c r="K51" i="9"/>
  <c r="W47" i="9"/>
  <c r="BB47" i="9" s="1"/>
  <c r="O47" i="9"/>
  <c r="D47" i="11" s="1"/>
  <c r="AJ48" i="23"/>
  <c r="AK48" i="23" s="1"/>
  <c r="H47" i="8"/>
  <c r="I47" i="8" s="1"/>
  <c r="X48" i="9"/>
  <c r="L48" i="8" s="1"/>
  <c r="W48" i="9"/>
  <c r="BB48" i="9" s="1"/>
  <c r="BR46" i="9"/>
  <c r="AZ46" i="3"/>
  <c r="BA46" i="3" s="1"/>
  <c r="Z46" i="11" s="1"/>
  <c r="J49" i="9"/>
  <c r="AJ50" i="23" s="1"/>
  <c r="AK50" i="23" s="1"/>
  <c r="Q49" i="9"/>
  <c r="H48" i="8"/>
  <c r="I48" i="8" s="1"/>
  <c r="BN46" i="9"/>
  <c r="BX46" i="9"/>
  <c r="BY46" i="9" s="1"/>
  <c r="S46" i="11" s="1"/>
  <c r="P46" i="11" s="1"/>
  <c r="R52" i="9"/>
  <c r="R51" i="9"/>
  <c r="E53" i="9"/>
  <c r="E53" i="3"/>
  <c r="F53" i="12"/>
  <c r="AD53" i="3"/>
  <c r="A60" i="6"/>
  <c r="AB61" i="22"/>
  <c r="T62" i="22"/>
  <c r="AC64" i="23"/>
  <c r="U65" i="23"/>
  <c r="U63" i="22"/>
  <c r="P62" i="6" s="1"/>
  <c r="AC62" i="22"/>
  <c r="AH44" i="8"/>
  <c r="AA44" i="9" s="1"/>
  <c r="AD44" i="9" s="1"/>
  <c r="AX44" i="9" s="1"/>
  <c r="AG44" i="8"/>
  <c r="Y44" i="9" s="1"/>
  <c r="AB44" i="9" s="1"/>
  <c r="AQ44" i="9" s="1"/>
  <c r="AS44" i="9" s="1"/>
  <c r="T47" i="9"/>
  <c r="AC51" i="3"/>
  <c r="AI51" i="3" s="1"/>
  <c r="K47" i="3"/>
  <c r="K52" i="12"/>
  <c r="B52" i="3"/>
  <c r="AC52" i="3"/>
  <c r="T47" i="8"/>
  <c r="S47" i="9"/>
  <c r="K47" i="8" s="1"/>
  <c r="N47" i="8" s="1"/>
  <c r="O47" i="8" s="1"/>
  <c r="P47" i="8" s="1"/>
  <c r="U47" i="9"/>
  <c r="AZ47" i="9" s="1"/>
  <c r="BM47" i="9" s="1"/>
  <c r="S54" i="6"/>
  <c r="R54" i="6" s="1"/>
  <c r="AA55" i="17" s="1"/>
  <c r="V47" i="9"/>
  <c r="BA47" i="9" s="1"/>
  <c r="R47" i="3"/>
  <c r="AS47" i="3" s="1"/>
  <c r="L47" i="3"/>
  <c r="N47" i="9" s="1"/>
  <c r="P47" i="9" s="1"/>
  <c r="K48" i="3"/>
  <c r="M48" i="3"/>
  <c r="M48" i="9" s="1"/>
  <c r="O48" i="9" s="1"/>
  <c r="D48" i="11" s="1"/>
  <c r="L48" i="3"/>
  <c r="N48" i="9" s="1"/>
  <c r="P48" i="9" s="1"/>
  <c r="P49" i="3"/>
  <c r="AM49" i="3" s="1"/>
  <c r="R48" i="3"/>
  <c r="AS48" i="3" s="1"/>
  <c r="R53" i="6"/>
  <c r="AA54" i="17" s="1"/>
  <c r="Q53" i="6"/>
  <c r="AD54" i="17" s="1"/>
  <c r="Y55" i="6"/>
  <c r="X55" i="6"/>
  <c r="AC55" i="6"/>
  <c r="W55" i="6"/>
  <c r="V55" i="6"/>
  <c r="AA55" i="6"/>
  <c r="U55" i="6"/>
  <c r="AB55" i="6"/>
  <c r="Z55" i="6"/>
  <c r="T55" i="6"/>
  <c r="J49" i="12"/>
  <c r="AA51" i="7"/>
  <c r="O49" i="12"/>
  <c r="B49" i="12" s="1"/>
  <c r="AH49" i="9"/>
  <c r="AM49" i="9" s="1"/>
  <c r="AC51" i="7"/>
  <c r="AD51" i="7"/>
  <c r="M49" i="12"/>
  <c r="AG49" i="9"/>
  <c r="P45" i="8"/>
  <c r="V45" i="8"/>
  <c r="X45" i="8" s="1"/>
  <c r="Y45" i="8" s="1"/>
  <c r="B51" i="6"/>
  <c r="C51" i="6"/>
  <c r="R44" i="8"/>
  <c r="AF44" i="8" s="1"/>
  <c r="Q44" i="8"/>
  <c r="BW44" i="9"/>
  <c r="Z44" i="8"/>
  <c r="AE44" i="8" s="1"/>
  <c r="V44" i="3" s="1"/>
  <c r="Y44" i="3" s="1"/>
  <c r="AR44" i="3" s="1"/>
  <c r="BF44" i="3" s="1"/>
  <c r="BG44" i="3" s="1"/>
  <c r="W44" i="11" s="1"/>
  <c r="AD44" i="8"/>
  <c r="T44" i="3" s="1"/>
  <c r="W44" i="3" s="1"/>
  <c r="AL44" i="3" s="1"/>
  <c r="AA44" i="8"/>
  <c r="AC44" i="8" s="1"/>
  <c r="U44" i="3" s="1"/>
  <c r="X44" i="3" s="1"/>
  <c r="AO44" i="3" s="1"/>
  <c r="AZ47" i="3"/>
  <c r="BA47" i="3" s="1"/>
  <c r="Z47" i="11" s="1"/>
  <c r="BX47" i="9"/>
  <c r="D52" i="6"/>
  <c r="L53" i="6"/>
  <c r="J53" i="6"/>
  <c r="H53" i="6"/>
  <c r="N53" i="6"/>
  <c r="F53" i="6"/>
  <c r="G53" i="6"/>
  <c r="K53" i="6"/>
  <c r="I53" i="6"/>
  <c r="M53" i="6"/>
  <c r="E53" i="6"/>
  <c r="L50" i="9"/>
  <c r="M54" i="8"/>
  <c r="AU54" i="3"/>
  <c r="K56" i="5"/>
  <c r="I51" i="3"/>
  <c r="N52" i="3"/>
  <c r="E54" i="5"/>
  <c r="AE55" i="23" s="1"/>
  <c r="L56" i="5"/>
  <c r="Q56" i="5"/>
  <c r="O56" i="5"/>
  <c r="S56" i="5"/>
  <c r="R56" i="5"/>
  <c r="N56" i="5"/>
  <c r="T56" i="5"/>
  <c r="A57" i="5"/>
  <c r="L57" i="5" s="1"/>
  <c r="P56" i="5"/>
  <c r="C54" i="5"/>
  <c r="D54" i="5"/>
  <c r="I54" i="5"/>
  <c r="AI55" i="23" s="1"/>
  <c r="F54" i="5"/>
  <c r="AF55" i="23" s="1"/>
  <c r="AO54" i="9" s="1"/>
  <c r="G54" i="5"/>
  <c r="B53" i="5"/>
  <c r="AD54" i="23" s="1"/>
  <c r="J55" i="5"/>
  <c r="G55" i="5" s="1"/>
  <c r="AH46" i="8"/>
  <c r="AA46" i="9" s="1"/>
  <c r="AD46" i="9" s="1"/>
  <c r="AX46" i="9" s="1"/>
  <c r="J50" i="3"/>
  <c r="A57" i="12"/>
  <c r="I51" i="12"/>
  <c r="H52" i="12"/>
  <c r="F52" i="9"/>
  <c r="K52" i="9" s="1"/>
  <c r="F52" i="3"/>
  <c r="I52" i="3" s="1"/>
  <c r="A57" i="11"/>
  <c r="Z53" i="3"/>
  <c r="A56" i="8"/>
  <c r="B55" i="8" l="1"/>
  <c r="AJ55" i="8" s="1"/>
  <c r="G55" i="8"/>
  <c r="C55" i="8"/>
  <c r="D55" i="8" s="1"/>
  <c r="AQ56" i="8"/>
  <c r="AP56" i="8"/>
  <c r="AO56" i="8"/>
  <c r="AN56" i="8"/>
  <c r="AU56" i="8"/>
  <c r="AM56" i="8"/>
  <c r="AR56" i="8"/>
  <c r="AT56" i="8"/>
  <c r="AS56" i="8"/>
  <c r="AL56" i="8"/>
  <c r="AV56" i="8"/>
  <c r="AW56" i="8"/>
  <c r="AX56" i="8"/>
  <c r="AY56" i="8"/>
  <c r="AZ56" i="8"/>
  <c r="BA56" i="8"/>
  <c r="BB56" i="8"/>
  <c r="BC56" i="8"/>
  <c r="BD56" i="8"/>
  <c r="BE56" i="8"/>
  <c r="BF56" i="8"/>
  <c r="AD54" i="3"/>
  <c r="AK51" i="3"/>
  <c r="AI52" i="3"/>
  <c r="AJ52" i="3"/>
  <c r="BT46" i="9"/>
  <c r="BU46" i="9" s="1"/>
  <c r="R46" i="11" s="1"/>
  <c r="BK46" i="9"/>
  <c r="BL46" i="9" s="1"/>
  <c r="AJ49" i="9"/>
  <c r="AK49" i="9"/>
  <c r="AL48" i="9"/>
  <c r="X46" i="8"/>
  <c r="Y46" i="8" s="1"/>
  <c r="AA46" i="8" s="1"/>
  <c r="AC46" i="8" s="1"/>
  <c r="U46" i="3" s="1"/>
  <c r="X46" i="3" s="1"/>
  <c r="AO46" i="3" s="1"/>
  <c r="L51" i="9"/>
  <c r="AG56" i="23"/>
  <c r="W55" i="12" s="1"/>
  <c r="AG55" i="23"/>
  <c r="W54" i="12" s="1"/>
  <c r="BC47" i="9"/>
  <c r="BQ47" i="9" s="1"/>
  <c r="BR47" i="9" s="1"/>
  <c r="BY47" i="9"/>
  <c r="S47" i="11" s="1"/>
  <c r="P47" i="11" s="1"/>
  <c r="BN47" i="9"/>
  <c r="BX48" i="9"/>
  <c r="BY48" i="9" s="1"/>
  <c r="S48" i="11" s="1"/>
  <c r="P48" i="11" s="1"/>
  <c r="W49" i="9"/>
  <c r="BB49" i="9" s="1"/>
  <c r="X49" i="9"/>
  <c r="L49" i="8" s="1"/>
  <c r="H49" i="8"/>
  <c r="I49" i="8" s="1"/>
  <c r="G54" i="12"/>
  <c r="G53" i="9"/>
  <c r="E53" i="12"/>
  <c r="G53" i="3"/>
  <c r="N53" i="3" s="1"/>
  <c r="E54" i="3"/>
  <c r="E54" i="9"/>
  <c r="F54" i="12"/>
  <c r="AC65" i="23"/>
  <c r="U66" i="23"/>
  <c r="A61" i="6"/>
  <c r="AB62" i="22"/>
  <c r="T63" i="22"/>
  <c r="U64" i="22"/>
  <c r="P63" i="6" s="1"/>
  <c r="AC63" i="22"/>
  <c r="O44" i="11"/>
  <c r="AH45" i="8"/>
  <c r="AA45" i="9" s="1"/>
  <c r="AD45" i="9" s="1"/>
  <c r="AX45" i="9" s="1"/>
  <c r="AG45" i="8"/>
  <c r="Y45" i="9" s="1"/>
  <c r="AB45" i="9" s="1"/>
  <c r="AQ45" i="9" s="1"/>
  <c r="AS45" i="9" s="1"/>
  <c r="W47" i="8"/>
  <c r="P52" i="12"/>
  <c r="S47" i="8"/>
  <c r="AC53" i="3"/>
  <c r="K54" i="12"/>
  <c r="B54" i="3"/>
  <c r="B53" i="3"/>
  <c r="K53" i="12"/>
  <c r="Q54" i="6"/>
  <c r="AD55" i="17" s="1"/>
  <c r="AR47" i="9"/>
  <c r="U48" i="9"/>
  <c r="AZ48" i="9" s="1"/>
  <c r="BM48" i="9" s="1"/>
  <c r="BN48" i="9" s="1"/>
  <c r="AU47" i="9"/>
  <c r="BV47" i="9" s="1"/>
  <c r="AZ48" i="3"/>
  <c r="BA48" i="3" s="1"/>
  <c r="Z48" i="11" s="1"/>
  <c r="V48" i="9"/>
  <c r="BA48" i="9" s="1"/>
  <c r="BC48" i="9" s="1"/>
  <c r="BQ48" i="9" s="1"/>
  <c r="BR48" i="9" s="1"/>
  <c r="S48" i="9"/>
  <c r="K48" i="8" s="1"/>
  <c r="N48" i="8" s="1"/>
  <c r="O48" i="8" s="1"/>
  <c r="P48" i="8" s="1"/>
  <c r="T48" i="9"/>
  <c r="W48" i="8" s="1"/>
  <c r="Q49" i="3"/>
  <c r="H49" i="3"/>
  <c r="M49" i="3" s="1"/>
  <c r="M49" i="9" s="1"/>
  <c r="T49" i="9" s="1"/>
  <c r="O49" i="3"/>
  <c r="X56" i="6"/>
  <c r="AC56" i="6"/>
  <c r="V56" i="6"/>
  <c r="AA56" i="6"/>
  <c r="Y56" i="6"/>
  <c r="U56" i="6"/>
  <c r="T56" i="6"/>
  <c r="W56" i="6"/>
  <c r="AB56" i="6"/>
  <c r="Z56" i="6"/>
  <c r="S55" i="6"/>
  <c r="B50" i="9"/>
  <c r="J50" i="12"/>
  <c r="AA52" i="7"/>
  <c r="J51" i="12" s="1"/>
  <c r="M50" i="12"/>
  <c r="AG50" i="9"/>
  <c r="O50" i="12"/>
  <c r="B50" i="12" s="1"/>
  <c r="AH50" i="9"/>
  <c r="AM50" i="9" s="1"/>
  <c r="AC52" i="7"/>
  <c r="AD52" i="7"/>
  <c r="O50" i="3"/>
  <c r="Q50" i="3"/>
  <c r="P50" i="3"/>
  <c r="AM50" i="3" s="1"/>
  <c r="H50" i="3"/>
  <c r="M50" i="3" s="1"/>
  <c r="M50" i="9" s="1"/>
  <c r="AX44" i="3"/>
  <c r="AN44" i="3"/>
  <c r="T49" i="8"/>
  <c r="Q45" i="8"/>
  <c r="R45" i="8"/>
  <c r="AF45" i="8" s="1"/>
  <c r="D53" i="6"/>
  <c r="BB44" i="3"/>
  <c r="BC44" i="3" s="1"/>
  <c r="X44" i="11" s="1"/>
  <c r="C52" i="6"/>
  <c r="B52" i="6"/>
  <c r="L54" i="6"/>
  <c r="K54" i="6"/>
  <c r="G54" i="6"/>
  <c r="I54" i="6"/>
  <c r="H54" i="6"/>
  <c r="N54" i="6"/>
  <c r="M54" i="6"/>
  <c r="E54" i="6"/>
  <c r="F54" i="6"/>
  <c r="J54" i="6"/>
  <c r="AD45" i="8"/>
  <c r="T45" i="3" s="1"/>
  <c r="W45" i="3" s="1"/>
  <c r="AL45" i="3" s="1"/>
  <c r="Z45" i="8"/>
  <c r="AE45" i="8" s="1"/>
  <c r="V45" i="3" s="1"/>
  <c r="Y45" i="3" s="1"/>
  <c r="AR45" i="3" s="1"/>
  <c r="BF45" i="3" s="1"/>
  <c r="BG45" i="3" s="1"/>
  <c r="W45" i="11" s="1"/>
  <c r="AA45" i="8"/>
  <c r="AC45" i="8" s="1"/>
  <c r="U45" i="3" s="1"/>
  <c r="X45" i="3" s="1"/>
  <c r="AO45" i="3" s="1"/>
  <c r="Z44" i="9"/>
  <c r="AC44" i="9" s="1"/>
  <c r="AT44" i="9" s="1"/>
  <c r="AI44" i="8"/>
  <c r="Q44" i="12" s="1"/>
  <c r="J51" i="3"/>
  <c r="M55" i="8"/>
  <c r="AU55" i="3"/>
  <c r="H55" i="5"/>
  <c r="R57" i="5"/>
  <c r="A58" i="5"/>
  <c r="R58" i="5" s="1"/>
  <c r="S57" i="5"/>
  <c r="T57" i="5"/>
  <c r="M57" i="5"/>
  <c r="K57" i="5"/>
  <c r="O57" i="5"/>
  <c r="P57" i="5"/>
  <c r="N57" i="5"/>
  <c r="Q57" i="5"/>
  <c r="J56" i="5"/>
  <c r="G56" i="5" s="1"/>
  <c r="B54" i="5"/>
  <c r="E55" i="5"/>
  <c r="AE56" i="23" s="1"/>
  <c r="F55" i="5"/>
  <c r="AF56" i="23" s="1"/>
  <c r="AO55" i="9" s="1"/>
  <c r="I55" i="5"/>
  <c r="AI56" i="23" s="1"/>
  <c r="C55" i="5"/>
  <c r="D55" i="5"/>
  <c r="Q46" i="8"/>
  <c r="AG46" i="8"/>
  <c r="Y46" i="9" s="1"/>
  <c r="AB46" i="9" s="1"/>
  <c r="AQ46" i="9" s="1"/>
  <c r="AS46" i="9" s="1"/>
  <c r="R46" i="8"/>
  <c r="AF46" i="8" s="1"/>
  <c r="Z46" i="9" s="1"/>
  <c r="AC46" i="9" s="1"/>
  <c r="AT46" i="9" s="1"/>
  <c r="AV46" i="9" s="1"/>
  <c r="V47" i="8"/>
  <c r="J47" i="8"/>
  <c r="I52" i="12"/>
  <c r="A58" i="12"/>
  <c r="H53" i="12"/>
  <c r="J52" i="3"/>
  <c r="L52" i="9"/>
  <c r="F53" i="3"/>
  <c r="F53" i="9"/>
  <c r="A58" i="11"/>
  <c r="Z54" i="3"/>
  <c r="A57" i="8"/>
  <c r="AK56" i="8" l="1"/>
  <c r="AO57" i="8"/>
  <c r="AN57" i="8"/>
  <c r="AU57" i="8"/>
  <c r="AM57" i="8"/>
  <c r="AT57" i="8"/>
  <c r="AL57" i="8"/>
  <c r="AS57" i="8"/>
  <c r="AP57" i="8"/>
  <c r="AR57" i="8"/>
  <c r="AQ57" i="8"/>
  <c r="AV57" i="8"/>
  <c r="AW57" i="8"/>
  <c r="AX57" i="8"/>
  <c r="AY57" i="8"/>
  <c r="AZ57" i="8"/>
  <c r="BA57" i="8"/>
  <c r="BB57" i="8"/>
  <c r="BC57" i="8"/>
  <c r="BD57" i="8"/>
  <c r="BE57" i="8"/>
  <c r="BF57" i="8"/>
  <c r="AH56" i="23"/>
  <c r="U55" i="12" s="1"/>
  <c r="AK52" i="3"/>
  <c r="AI53" i="3"/>
  <c r="AJ53" i="3"/>
  <c r="BT47" i="9"/>
  <c r="BU47" i="9" s="1"/>
  <c r="R47" i="11" s="1"/>
  <c r="BK47" i="9"/>
  <c r="BL47" i="9" s="1"/>
  <c r="AY44" i="3"/>
  <c r="V44" i="11" s="1"/>
  <c r="BH44" i="3"/>
  <c r="BI44" i="3" s="1"/>
  <c r="AA44" i="11" s="1"/>
  <c r="AJ50" i="9"/>
  <c r="AK50" i="9"/>
  <c r="AL49" i="9"/>
  <c r="Z46" i="8"/>
  <c r="AE46" i="8" s="1"/>
  <c r="V46" i="3" s="1"/>
  <c r="Y46" i="3" s="1"/>
  <c r="AR46" i="3" s="1"/>
  <c r="BF46" i="3" s="1"/>
  <c r="BG46" i="3" s="1"/>
  <c r="W46" i="11" s="1"/>
  <c r="AD46" i="8"/>
  <c r="T46" i="3" s="1"/>
  <c r="W46" i="3" s="1"/>
  <c r="AL46" i="3" s="1"/>
  <c r="AX46" i="3" s="1"/>
  <c r="AG57" i="23"/>
  <c r="J50" i="9"/>
  <c r="H50" i="8" s="1"/>
  <c r="I50" i="8" s="1"/>
  <c r="Q50" i="9"/>
  <c r="G55" i="12"/>
  <c r="R53" i="9"/>
  <c r="AD55" i="23"/>
  <c r="F55" i="12"/>
  <c r="E55" i="9"/>
  <c r="E55" i="3"/>
  <c r="A62" i="6"/>
  <c r="AB63" i="22"/>
  <c r="T64" i="22"/>
  <c r="AC66" i="23"/>
  <c r="U67" i="23"/>
  <c r="U65" i="22"/>
  <c r="P64" i="6" s="1"/>
  <c r="AC64" i="22"/>
  <c r="X47" i="8"/>
  <c r="Y47" i="8" s="1"/>
  <c r="AD47" i="8" s="1"/>
  <c r="P53" i="12"/>
  <c r="AC54" i="3"/>
  <c r="AR48" i="9"/>
  <c r="AU48" i="9"/>
  <c r="BV48" i="9" s="1"/>
  <c r="BW48" i="9" s="1"/>
  <c r="O48" i="11" s="1"/>
  <c r="V49" i="9"/>
  <c r="BA49" i="9" s="1"/>
  <c r="BC49" i="9" s="1"/>
  <c r="BQ49" i="9" s="1"/>
  <c r="U49" i="9"/>
  <c r="AZ49" i="9" s="1"/>
  <c r="BM49" i="9" s="1"/>
  <c r="O49" i="9"/>
  <c r="D49" i="11" s="1"/>
  <c r="S49" i="9"/>
  <c r="K49" i="8" s="1"/>
  <c r="N49" i="8" s="1"/>
  <c r="O49" i="8" s="1"/>
  <c r="P49" i="8" s="1"/>
  <c r="L49" i="3"/>
  <c r="N49" i="9" s="1"/>
  <c r="P49" i="9" s="1"/>
  <c r="V48" i="8"/>
  <c r="X48" i="8" s="1"/>
  <c r="Y48" i="8" s="1"/>
  <c r="Z48" i="8" s="1"/>
  <c r="AE48" i="8" s="1"/>
  <c r="K49" i="3"/>
  <c r="R49" i="3"/>
  <c r="AS49" i="3" s="1"/>
  <c r="S49" i="8"/>
  <c r="J48" i="8"/>
  <c r="B51" i="9"/>
  <c r="Q55" i="6"/>
  <c r="AD56" i="17" s="1"/>
  <c r="R55" i="6"/>
  <c r="AA56" i="17" s="1"/>
  <c r="AC57" i="6"/>
  <c r="W57" i="6"/>
  <c r="X57" i="6"/>
  <c r="AA57" i="6"/>
  <c r="Z57" i="6"/>
  <c r="Y57" i="6"/>
  <c r="T57" i="6"/>
  <c r="U57" i="6"/>
  <c r="AB57" i="6"/>
  <c r="V57" i="6"/>
  <c r="S56" i="6"/>
  <c r="H51" i="3"/>
  <c r="M51" i="3" s="1"/>
  <c r="M51" i="9" s="1"/>
  <c r="AA53" i="7"/>
  <c r="J52" i="12" s="1"/>
  <c r="K50" i="3"/>
  <c r="D54" i="6"/>
  <c r="C54" i="6" s="1"/>
  <c r="M51" i="12"/>
  <c r="AG51" i="9"/>
  <c r="AC53" i="7"/>
  <c r="AD53" i="7"/>
  <c r="O51" i="12"/>
  <c r="B51" i="12" s="1"/>
  <c r="AH51" i="9"/>
  <c r="AM51" i="9" s="1"/>
  <c r="BB45" i="3"/>
  <c r="BC45" i="3" s="1"/>
  <c r="X45" i="11" s="1"/>
  <c r="L50" i="3"/>
  <c r="N50" i="9" s="1"/>
  <c r="R50" i="3"/>
  <c r="AS50" i="3" s="1"/>
  <c r="AN45" i="3"/>
  <c r="AX45" i="3"/>
  <c r="B53" i="6"/>
  <c r="C53" i="6"/>
  <c r="T50" i="8"/>
  <c r="S50" i="8" s="1"/>
  <c r="Z45" i="9"/>
  <c r="AC45" i="9" s="1"/>
  <c r="AT45" i="9" s="1"/>
  <c r="AI45" i="8"/>
  <c r="Q45" i="12" s="1"/>
  <c r="AZ49" i="3"/>
  <c r="BA49" i="3" s="1"/>
  <c r="Z49" i="11" s="1"/>
  <c r="BX49" i="9"/>
  <c r="G55" i="6"/>
  <c r="I55" i="6"/>
  <c r="H55" i="6"/>
  <c r="M55" i="6"/>
  <c r="F55" i="6"/>
  <c r="E55" i="6"/>
  <c r="J55" i="6"/>
  <c r="K55" i="6"/>
  <c r="N55" i="6"/>
  <c r="L55" i="6"/>
  <c r="W49" i="8"/>
  <c r="AV44" i="9"/>
  <c r="BI44" i="9"/>
  <c r="BJ44" i="9" s="1"/>
  <c r="BW47" i="9"/>
  <c r="O47" i="11" s="1"/>
  <c r="M56" i="8"/>
  <c r="AU56" i="3"/>
  <c r="BB46" i="3"/>
  <c r="BC46" i="3" s="1"/>
  <c r="X46" i="11" s="1"/>
  <c r="T58" i="5"/>
  <c r="K58" i="5"/>
  <c r="N58" i="5"/>
  <c r="P58" i="5"/>
  <c r="S58" i="5"/>
  <c r="M58" i="5"/>
  <c r="A59" i="5"/>
  <c r="M59" i="5" s="1"/>
  <c r="Q58" i="5"/>
  <c r="O58" i="5"/>
  <c r="L58" i="5"/>
  <c r="J57" i="5"/>
  <c r="F57" i="5" s="1"/>
  <c r="AF58" i="23" s="1"/>
  <c r="AO57" i="9" s="1"/>
  <c r="F56" i="5"/>
  <c r="AF57" i="23" s="1"/>
  <c r="AO56" i="9" s="1"/>
  <c r="D56" i="5"/>
  <c r="H56" i="5"/>
  <c r="I56" i="5"/>
  <c r="AI57" i="23" s="1"/>
  <c r="E56" i="5"/>
  <c r="AE57" i="23" s="1"/>
  <c r="C56" i="5"/>
  <c r="B55" i="5"/>
  <c r="AD56" i="23" s="1"/>
  <c r="K53" i="9"/>
  <c r="AI46" i="8"/>
  <c r="Q46" i="12" s="1"/>
  <c r="R47" i="8"/>
  <c r="AF47" i="8" s="1"/>
  <c r="AG48" i="8"/>
  <c r="Y48" i="9" s="1"/>
  <c r="AB48" i="9" s="1"/>
  <c r="AQ48" i="9" s="1"/>
  <c r="BI46" i="9"/>
  <c r="BJ46" i="9" s="1"/>
  <c r="A59" i="12"/>
  <c r="I53" i="12"/>
  <c r="H54" i="12"/>
  <c r="I53" i="3"/>
  <c r="F54" i="9"/>
  <c r="F54" i="3"/>
  <c r="A59" i="11"/>
  <c r="Z55" i="3"/>
  <c r="A58" i="8"/>
  <c r="AU58" i="8" l="1"/>
  <c r="AM58" i="8"/>
  <c r="AT58" i="8"/>
  <c r="AL58" i="8"/>
  <c r="AS58" i="8"/>
  <c r="AR58" i="8"/>
  <c r="AQ58" i="8"/>
  <c r="AN58" i="8"/>
  <c r="AP58" i="8"/>
  <c r="AO58" i="8"/>
  <c r="AV58" i="8"/>
  <c r="AW58" i="8"/>
  <c r="AX58" i="8"/>
  <c r="AY58" i="8"/>
  <c r="AZ58" i="8"/>
  <c r="BA58" i="8"/>
  <c r="BB58" i="8"/>
  <c r="BC58" i="8"/>
  <c r="BD58" i="8"/>
  <c r="BE58" i="8"/>
  <c r="BF58" i="8"/>
  <c r="AK57" i="8"/>
  <c r="C56" i="8"/>
  <c r="D56" i="8" s="1"/>
  <c r="B56" i="8"/>
  <c r="AJ56" i="8" s="1"/>
  <c r="G56" i="8"/>
  <c r="AD55" i="3"/>
  <c r="AH57" i="23"/>
  <c r="U56" i="12" s="1"/>
  <c r="H44" i="11"/>
  <c r="AK53" i="3"/>
  <c r="AY46" i="3"/>
  <c r="V46" i="11" s="1"/>
  <c r="BH46" i="3"/>
  <c r="BI46" i="3" s="1"/>
  <c r="AA46" i="11" s="1"/>
  <c r="H46" i="11" s="1"/>
  <c r="AY45" i="3"/>
  <c r="V45" i="11" s="1"/>
  <c r="BH45" i="3"/>
  <c r="BI45" i="3" s="1"/>
  <c r="AA45" i="11" s="1"/>
  <c r="BT48" i="9"/>
  <c r="BU48" i="9" s="1"/>
  <c r="R48" i="11" s="1"/>
  <c r="BK48" i="9"/>
  <c r="BL48" i="9" s="1"/>
  <c r="AK51" i="9"/>
  <c r="AJ51" i="9"/>
  <c r="AL50" i="9"/>
  <c r="T50" i="9"/>
  <c r="W50" i="8" s="1"/>
  <c r="AN46" i="3"/>
  <c r="V50" i="9"/>
  <c r="BA50" i="9" s="1"/>
  <c r="X50" i="9"/>
  <c r="L50" i="8" s="1"/>
  <c r="U50" i="9"/>
  <c r="AZ50" i="9" s="1"/>
  <c r="BM50" i="9" s="1"/>
  <c r="S50" i="9"/>
  <c r="K50" i="8" s="1"/>
  <c r="N50" i="8" s="1"/>
  <c r="O50" i="8" s="1"/>
  <c r="P50" i="8" s="1"/>
  <c r="O50" i="9"/>
  <c r="D50" i="11" s="1"/>
  <c r="AJ51" i="23"/>
  <c r="AK51" i="23" s="1"/>
  <c r="W50" i="9"/>
  <c r="BB50" i="9" s="1"/>
  <c r="J51" i="9"/>
  <c r="O51" i="9" s="1"/>
  <c r="D51" i="11" s="1"/>
  <c r="Q51" i="9"/>
  <c r="G56" i="12"/>
  <c r="G54" i="3"/>
  <c r="N54" i="3" s="1"/>
  <c r="E54" i="12"/>
  <c r="G54" i="9"/>
  <c r="K54" i="9" s="1"/>
  <c r="L54" i="9" s="1"/>
  <c r="G57" i="12"/>
  <c r="E56" i="3"/>
  <c r="E56" i="9"/>
  <c r="F56" i="12"/>
  <c r="E55" i="12"/>
  <c r="G55" i="9"/>
  <c r="G55" i="3"/>
  <c r="N55" i="3" s="1"/>
  <c r="AC67" i="23"/>
  <c r="U68" i="23"/>
  <c r="A63" i="6"/>
  <c r="AB64" i="22"/>
  <c r="T65" i="22"/>
  <c r="U66" i="22"/>
  <c r="P65" i="6" s="1"/>
  <c r="AC65" i="22"/>
  <c r="AA47" i="8"/>
  <c r="AC47" i="8" s="1"/>
  <c r="U47" i="3" s="1"/>
  <c r="X47" i="3" s="1"/>
  <c r="AO47" i="3" s="1"/>
  <c r="Z47" i="8"/>
  <c r="AE47" i="8" s="1"/>
  <c r="V47" i="3" s="1"/>
  <c r="Y47" i="3" s="1"/>
  <c r="AR47" i="3" s="1"/>
  <c r="BF47" i="3" s="1"/>
  <c r="BG47" i="3" s="1"/>
  <c r="W47" i="11" s="1"/>
  <c r="P54" i="12"/>
  <c r="B55" i="3"/>
  <c r="K55" i="12"/>
  <c r="P55" i="12"/>
  <c r="AD48" i="8"/>
  <c r="T48" i="3" s="1"/>
  <c r="W48" i="3" s="1"/>
  <c r="AL48" i="3" s="1"/>
  <c r="AA48" i="8"/>
  <c r="AC48" i="8" s="1"/>
  <c r="U48" i="3" s="1"/>
  <c r="X48" i="3" s="1"/>
  <c r="AO48" i="3" s="1"/>
  <c r="BN49" i="9"/>
  <c r="AR49" i="9"/>
  <c r="BR49" i="9"/>
  <c r="BY49" i="9"/>
  <c r="S49" i="11" s="1"/>
  <c r="P49" i="11" s="1"/>
  <c r="Q52" i="3"/>
  <c r="AU49" i="9"/>
  <c r="B52" i="9"/>
  <c r="P51" i="3"/>
  <c r="AM51" i="3" s="1"/>
  <c r="Q51" i="3"/>
  <c r="V58" i="6"/>
  <c r="W58" i="6"/>
  <c r="Y58" i="6"/>
  <c r="Z58" i="6"/>
  <c r="U58" i="6"/>
  <c r="X58" i="6"/>
  <c r="AB58" i="6"/>
  <c r="AA58" i="6"/>
  <c r="T58" i="6"/>
  <c r="AC58" i="6"/>
  <c r="O51" i="3"/>
  <c r="S57" i="6"/>
  <c r="R56" i="6"/>
  <c r="AA57" i="17" s="1"/>
  <c r="Q56" i="6"/>
  <c r="AD57" i="17" s="1"/>
  <c r="AA54" i="7"/>
  <c r="AA55" i="7"/>
  <c r="B54" i="6"/>
  <c r="AH52" i="9"/>
  <c r="AM52" i="9" s="1"/>
  <c r="O52" i="12"/>
  <c r="B52" i="12" s="1"/>
  <c r="AG52" i="9"/>
  <c r="M52" i="12"/>
  <c r="AC54" i="7"/>
  <c r="AD54" i="7"/>
  <c r="K51" i="3"/>
  <c r="D55" i="6"/>
  <c r="J56" i="6"/>
  <c r="F56" i="6"/>
  <c r="L56" i="6"/>
  <c r="G56" i="6"/>
  <c r="E56" i="6"/>
  <c r="N56" i="6"/>
  <c r="K56" i="6"/>
  <c r="H56" i="6"/>
  <c r="I56" i="6"/>
  <c r="M56" i="6"/>
  <c r="L51" i="3"/>
  <c r="N51" i="9" s="1"/>
  <c r="R51" i="3"/>
  <c r="AS51" i="3" s="1"/>
  <c r="P50" i="9"/>
  <c r="AV45" i="9"/>
  <c r="BI45" i="9"/>
  <c r="BJ45" i="9" s="1"/>
  <c r="M57" i="8"/>
  <c r="AU57" i="3"/>
  <c r="O59" i="5"/>
  <c r="K59" i="5"/>
  <c r="T59" i="5"/>
  <c r="Q59" i="5"/>
  <c r="N59" i="5"/>
  <c r="A60" i="5"/>
  <c r="M60" i="5" s="1"/>
  <c r="S59" i="5"/>
  <c r="P59" i="5"/>
  <c r="L59" i="5"/>
  <c r="R59" i="5"/>
  <c r="J58" i="5"/>
  <c r="I58" i="5" s="1"/>
  <c r="AI59" i="23" s="1"/>
  <c r="C57" i="5"/>
  <c r="G57" i="5"/>
  <c r="I57" i="5"/>
  <c r="AI58" i="23" s="1"/>
  <c r="D57" i="5"/>
  <c r="E57" i="5"/>
  <c r="AE58" i="23" s="1"/>
  <c r="H57" i="5"/>
  <c r="B56" i="5"/>
  <c r="AD57" i="23" s="1"/>
  <c r="L53" i="9"/>
  <c r="Q47" i="8"/>
  <c r="AH47" i="8"/>
  <c r="AA47" i="9" s="1"/>
  <c r="AD47" i="9" s="1"/>
  <c r="AX47" i="9" s="1"/>
  <c r="AG47" i="8"/>
  <c r="Y47" i="9" s="1"/>
  <c r="AB47" i="9" s="1"/>
  <c r="AQ47" i="9" s="1"/>
  <c r="AS47" i="9" s="1"/>
  <c r="R48" i="8"/>
  <c r="AF48" i="8" s="1"/>
  <c r="Z48" i="9" s="1"/>
  <c r="AC48" i="9" s="1"/>
  <c r="AT48" i="9" s="1"/>
  <c r="AV48" i="9" s="1"/>
  <c r="AH48" i="8"/>
  <c r="AA48" i="9" s="1"/>
  <c r="AD48" i="9" s="1"/>
  <c r="AX48" i="9" s="1"/>
  <c r="V48" i="3"/>
  <c r="Y48" i="3" s="1"/>
  <c r="AR48" i="3" s="1"/>
  <c r="BF48" i="3" s="1"/>
  <c r="BG48" i="3" s="1"/>
  <c r="W48" i="11" s="1"/>
  <c r="Q48" i="8"/>
  <c r="T47" i="3"/>
  <c r="W47" i="3" s="1"/>
  <c r="AL47" i="3" s="1"/>
  <c r="Z47" i="9"/>
  <c r="AC47" i="9" s="1"/>
  <c r="AT47" i="9" s="1"/>
  <c r="AV47" i="9" s="1"/>
  <c r="AS48" i="9"/>
  <c r="V49" i="8"/>
  <c r="X49" i="8" s="1"/>
  <c r="Y49" i="8" s="1"/>
  <c r="J49" i="8"/>
  <c r="J53" i="3"/>
  <c r="I54" i="12"/>
  <c r="A60" i="12"/>
  <c r="H55" i="12"/>
  <c r="F55" i="9"/>
  <c r="F55" i="3"/>
  <c r="A60" i="11"/>
  <c r="Z56" i="3"/>
  <c r="A59" i="8"/>
  <c r="B57" i="8" l="1"/>
  <c r="AJ57" i="8" s="1"/>
  <c r="G57" i="8"/>
  <c r="C57" i="8"/>
  <c r="D57" i="8" s="1"/>
  <c r="AK58" i="8"/>
  <c r="AS59" i="8"/>
  <c r="AR59" i="8"/>
  <c r="AQ59" i="8"/>
  <c r="AP59" i="8"/>
  <c r="AO59" i="8"/>
  <c r="AT59" i="8"/>
  <c r="AL59" i="8"/>
  <c r="AM59" i="8"/>
  <c r="AU59" i="8"/>
  <c r="AN59" i="8"/>
  <c r="AV59" i="8"/>
  <c r="AW59" i="8"/>
  <c r="AX59" i="8"/>
  <c r="AY59" i="8"/>
  <c r="AZ59" i="8"/>
  <c r="BA59" i="8"/>
  <c r="BB59" i="8"/>
  <c r="BC59" i="8"/>
  <c r="BD59" i="8"/>
  <c r="BE59" i="8"/>
  <c r="BF59" i="8"/>
  <c r="AD56" i="3"/>
  <c r="AH58" i="23"/>
  <c r="U57" i="12" s="1"/>
  <c r="H45" i="11"/>
  <c r="AJ55" i="3"/>
  <c r="AI54" i="3"/>
  <c r="AJ54" i="3"/>
  <c r="BT49" i="9"/>
  <c r="BU49" i="9" s="1"/>
  <c r="R49" i="11" s="1"/>
  <c r="BK49" i="9"/>
  <c r="BL49" i="9" s="1"/>
  <c r="AL51" i="9"/>
  <c r="AJ52" i="9"/>
  <c r="AK52" i="9"/>
  <c r="AU50" i="9"/>
  <c r="BV50" i="9" s="1"/>
  <c r="BW50" i="9" s="1"/>
  <c r="O50" i="11" s="1"/>
  <c r="BX50" i="9"/>
  <c r="BY50" i="9" s="1"/>
  <c r="S50" i="11" s="1"/>
  <c r="P50" i="11" s="1"/>
  <c r="AZ50" i="3"/>
  <c r="BA50" i="3" s="1"/>
  <c r="Z50" i="11" s="1"/>
  <c r="J50" i="8"/>
  <c r="Q50" i="8" s="1"/>
  <c r="AR50" i="9"/>
  <c r="BN50" i="9"/>
  <c r="BC50" i="9"/>
  <c r="BQ50" i="9" s="1"/>
  <c r="BR50" i="9" s="1"/>
  <c r="V50" i="8"/>
  <c r="X50" i="8" s="1"/>
  <c r="Y50" i="8" s="1"/>
  <c r="Z50" i="8" s="1"/>
  <c r="AE50" i="8" s="1"/>
  <c r="I54" i="3"/>
  <c r="J54" i="3" s="1"/>
  <c r="AG58" i="23"/>
  <c r="T51" i="9"/>
  <c r="V51" i="9"/>
  <c r="BA51" i="9" s="1"/>
  <c r="H51" i="8"/>
  <c r="I51" i="8" s="1"/>
  <c r="I55" i="3"/>
  <c r="J55" i="3" s="1"/>
  <c r="S51" i="9"/>
  <c r="K51" i="8" s="1"/>
  <c r="N51" i="8" s="1"/>
  <c r="O51" i="8" s="1"/>
  <c r="P51" i="8" s="1"/>
  <c r="AG51" i="8" s="1"/>
  <c r="Y51" i="9" s="1"/>
  <c r="AB51" i="9" s="1"/>
  <c r="AQ51" i="9" s="1"/>
  <c r="X51" i="9"/>
  <c r="L51" i="8" s="1"/>
  <c r="AJ52" i="23"/>
  <c r="AK52" i="23" s="1"/>
  <c r="U51" i="9"/>
  <c r="AZ51" i="9" s="1"/>
  <c r="BM51" i="9" s="1"/>
  <c r="BN51" i="9" s="1"/>
  <c r="W51" i="9"/>
  <c r="BB51" i="9" s="1"/>
  <c r="J52" i="9"/>
  <c r="Q52" i="9"/>
  <c r="R54" i="9"/>
  <c r="R55" i="9"/>
  <c r="F57" i="12"/>
  <c r="E57" i="3"/>
  <c r="E57" i="9"/>
  <c r="G56" i="9"/>
  <c r="G56" i="3"/>
  <c r="N56" i="3" s="1"/>
  <c r="E56" i="12"/>
  <c r="AC68" i="23"/>
  <c r="U69" i="23"/>
  <c r="A64" i="6"/>
  <c r="AB65" i="22"/>
  <c r="T66" i="22"/>
  <c r="U67" i="22"/>
  <c r="P66" i="6" s="1"/>
  <c r="AC66" i="22"/>
  <c r="AC55" i="3"/>
  <c r="AI55" i="3" s="1"/>
  <c r="AC56" i="3"/>
  <c r="B56" i="3"/>
  <c r="K56" i="12"/>
  <c r="T51" i="8"/>
  <c r="S51" i="8" s="1"/>
  <c r="H52" i="3"/>
  <c r="M52" i="3" s="1"/>
  <c r="M52" i="9" s="1"/>
  <c r="O52" i="3"/>
  <c r="P52" i="3"/>
  <c r="BV49" i="9"/>
  <c r="B53" i="9"/>
  <c r="J53" i="12"/>
  <c r="P54" i="3"/>
  <c r="T54" i="8" s="1"/>
  <c r="O54" i="3"/>
  <c r="Z59" i="6"/>
  <c r="Y59" i="6"/>
  <c r="T59" i="6"/>
  <c r="X59" i="6"/>
  <c r="AC59" i="6"/>
  <c r="AB59" i="6"/>
  <c r="W59" i="6"/>
  <c r="V59" i="6"/>
  <c r="AA59" i="6"/>
  <c r="U59" i="6"/>
  <c r="Q57" i="6"/>
  <c r="AD58" i="17" s="1"/>
  <c r="R57" i="6"/>
  <c r="AA58" i="17" s="1"/>
  <c r="S58" i="6"/>
  <c r="Q54" i="3"/>
  <c r="J54" i="12"/>
  <c r="B54" i="9"/>
  <c r="J54" i="9" s="1"/>
  <c r="H54" i="3"/>
  <c r="AC55" i="7"/>
  <c r="AD55" i="7"/>
  <c r="AG53" i="9"/>
  <c r="M53" i="12"/>
  <c r="AH53" i="9"/>
  <c r="AM53" i="9" s="1"/>
  <c r="O53" i="12"/>
  <c r="B53" i="12" s="1"/>
  <c r="P51" i="9"/>
  <c r="C55" i="6"/>
  <c r="B55" i="6"/>
  <c r="D56" i="6"/>
  <c r="K57" i="6"/>
  <c r="E57" i="6"/>
  <c r="G57" i="6"/>
  <c r="M57" i="6"/>
  <c r="L57" i="6"/>
  <c r="N57" i="6"/>
  <c r="I57" i="6"/>
  <c r="H57" i="6"/>
  <c r="J57" i="6"/>
  <c r="F57" i="6"/>
  <c r="O53" i="3"/>
  <c r="P53" i="3"/>
  <c r="AM53" i="3" s="1"/>
  <c r="H53" i="3"/>
  <c r="K53" i="3" s="1"/>
  <c r="Q53" i="3"/>
  <c r="M58" i="8"/>
  <c r="AU58" i="3"/>
  <c r="BB48" i="3"/>
  <c r="BC48" i="3" s="1"/>
  <c r="X48" i="11" s="1"/>
  <c r="BB47" i="3"/>
  <c r="BC47" i="3" s="1"/>
  <c r="X47" i="11" s="1"/>
  <c r="AN48" i="3"/>
  <c r="AX48" i="3"/>
  <c r="AN47" i="3"/>
  <c r="AX47" i="3"/>
  <c r="R60" i="5"/>
  <c r="S60" i="5"/>
  <c r="P60" i="5"/>
  <c r="Q60" i="5"/>
  <c r="O60" i="5"/>
  <c r="C58" i="5"/>
  <c r="T60" i="5"/>
  <c r="G58" i="5"/>
  <c r="K60" i="5"/>
  <c r="A61" i="5"/>
  <c r="R61" i="5" s="1"/>
  <c r="L60" i="5"/>
  <c r="N60" i="5"/>
  <c r="E58" i="5"/>
  <c r="AE59" i="23" s="1"/>
  <c r="J59" i="5"/>
  <c r="H59" i="5" s="1"/>
  <c r="F58" i="5"/>
  <c r="AF59" i="23" s="1"/>
  <c r="AO58" i="9" s="1"/>
  <c r="H58" i="5"/>
  <c r="D58" i="5"/>
  <c r="B57" i="5"/>
  <c r="AD58" i="23" s="1"/>
  <c r="Z49" i="8"/>
  <c r="AE49" i="8" s="1"/>
  <c r="AA49" i="8"/>
  <c r="AC49" i="8" s="1"/>
  <c r="AD49" i="8"/>
  <c r="AI47" i="8"/>
  <c r="Q47" i="12" s="1"/>
  <c r="AI48" i="8"/>
  <c r="Q48" i="12" s="1"/>
  <c r="Q49" i="8"/>
  <c r="BI48" i="9"/>
  <c r="BJ48" i="9" s="1"/>
  <c r="BI47" i="9"/>
  <c r="BJ47" i="9" s="1"/>
  <c r="I55" i="12"/>
  <c r="A61" i="12"/>
  <c r="H56" i="12"/>
  <c r="K55" i="9"/>
  <c r="F56" i="9"/>
  <c r="F56" i="3"/>
  <c r="A61" i="11"/>
  <c r="Z57" i="3"/>
  <c r="A60" i="8"/>
  <c r="B58" i="8" l="1"/>
  <c r="AJ58" i="8" s="1"/>
  <c r="C58" i="8"/>
  <c r="D58" i="8" s="1"/>
  <c r="G58" i="8"/>
  <c r="AQ60" i="8"/>
  <c r="AP60" i="8"/>
  <c r="AO60" i="8"/>
  <c r="AN60" i="8"/>
  <c r="AU60" i="8"/>
  <c r="AM60" i="8"/>
  <c r="AR60" i="8"/>
  <c r="AT60" i="8"/>
  <c r="AS60" i="8"/>
  <c r="AL60" i="8"/>
  <c r="AV60" i="8"/>
  <c r="AW60" i="8"/>
  <c r="AX60" i="8"/>
  <c r="AY60" i="8"/>
  <c r="AZ60" i="8"/>
  <c r="BA60" i="8"/>
  <c r="BB60" i="8"/>
  <c r="BC60" i="8"/>
  <c r="BD60" i="8"/>
  <c r="BE60" i="8"/>
  <c r="BF60" i="8"/>
  <c r="AK60" i="8" s="1"/>
  <c r="AK59" i="8"/>
  <c r="AD57" i="3"/>
  <c r="AH60" i="23"/>
  <c r="U59" i="12" s="1"/>
  <c r="AH59" i="23"/>
  <c r="U58" i="12" s="1"/>
  <c r="AK55" i="3"/>
  <c r="T52" i="8"/>
  <c r="S52" i="8" s="1"/>
  <c r="AM52" i="3"/>
  <c r="AK54" i="3"/>
  <c r="AM54" i="3" s="1"/>
  <c r="AI56" i="3"/>
  <c r="AJ56" i="3"/>
  <c r="AY47" i="3"/>
  <c r="V47" i="11" s="1"/>
  <c r="BH47" i="3"/>
  <c r="BI47" i="3" s="1"/>
  <c r="AA47" i="11" s="1"/>
  <c r="H47" i="11" s="1"/>
  <c r="BT50" i="9"/>
  <c r="BU50" i="9" s="1"/>
  <c r="R50" i="11" s="1"/>
  <c r="BK50" i="9"/>
  <c r="BL50" i="9" s="1"/>
  <c r="AY48" i="3"/>
  <c r="V48" i="11" s="1"/>
  <c r="BH48" i="3"/>
  <c r="BI48" i="3" s="1"/>
  <c r="AA48" i="11" s="1"/>
  <c r="H48" i="11" s="1"/>
  <c r="AU51" i="9"/>
  <c r="BV51" i="9" s="1"/>
  <c r="BW51" i="9" s="1"/>
  <c r="O51" i="11" s="1"/>
  <c r="AL52" i="9"/>
  <c r="AJ53" i="9"/>
  <c r="AK53" i="9"/>
  <c r="L54" i="3"/>
  <c r="N54" i="9" s="1"/>
  <c r="P54" i="9" s="1"/>
  <c r="AG59" i="23"/>
  <c r="J51" i="8"/>
  <c r="R51" i="8" s="1"/>
  <c r="AF51" i="8" s="1"/>
  <c r="Z51" i="9" s="1"/>
  <c r="AC51" i="9" s="1"/>
  <c r="AT51" i="9" s="1"/>
  <c r="AZ51" i="3"/>
  <c r="BA51" i="3" s="1"/>
  <c r="Z51" i="11" s="1"/>
  <c r="BC51" i="9"/>
  <c r="BQ51" i="9" s="1"/>
  <c r="BR51" i="9" s="1"/>
  <c r="BX51" i="9"/>
  <c r="BY51" i="9" s="1"/>
  <c r="S51" i="11" s="1"/>
  <c r="P51" i="11" s="1"/>
  <c r="AR51" i="9"/>
  <c r="V51" i="8"/>
  <c r="U52" i="9"/>
  <c r="AZ52" i="9" s="1"/>
  <c r="BM52" i="9" s="1"/>
  <c r="X52" i="9"/>
  <c r="L52" i="8" s="1"/>
  <c r="H52" i="8"/>
  <c r="I52" i="8" s="1"/>
  <c r="AJ53" i="23"/>
  <c r="AK53" i="23" s="1"/>
  <c r="W52" i="9"/>
  <c r="BB52" i="9" s="1"/>
  <c r="Q54" i="9"/>
  <c r="J53" i="9"/>
  <c r="Q53" i="9"/>
  <c r="E57" i="12"/>
  <c r="G57" i="9"/>
  <c r="G57" i="3"/>
  <c r="N57" i="3" s="1"/>
  <c r="G58" i="12"/>
  <c r="E58" i="3"/>
  <c r="F58" i="12"/>
  <c r="E58" i="9"/>
  <c r="R56" i="9"/>
  <c r="AJ55" i="23"/>
  <c r="AK55" i="23" s="1"/>
  <c r="A65" i="6"/>
  <c r="AB66" i="22"/>
  <c r="T67" i="22"/>
  <c r="AC69" i="23"/>
  <c r="U70" i="23"/>
  <c r="U68" i="22"/>
  <c r="P67" i="6" s="1"/>
  <c r="AC67" i="22"/>
  <c r="W51" i="8"/>
  <c r="P56" i="12"/>
  <c r="R52" i="3"/>
  <c r="AS52" i="3" s="1"/>
  <c r="B57" i="3"/>
  <c r="K57" i="12"/>
  <c r="AC57" i="3"/>
  <c r="BW49" i="9"/>
  <c r="S52" i="9"/>
  <c r="K52" i="8" s="1"/>
  <c r="N52" i="8" s="1"/>
  <c r="O52" i="8" s="1"/>
  <c r="P52" i="8" s="1"/>
  <c r="O52" i="9"/>
  <c r="T52" i="9"/>
  <c r="L52" i="3"/>
  <c r="N52" i="9" s="1"/>
  <c r="P52" i="9" s="1"/>
  <c r="V52" i="9"/>
  <c r="BA52" i="9" s="1"/>
  <c r="K52" i="3"/>
  <c r="S54" i="8"/>
  <c r="AD50" i="8"/>
  <c r="T50" i="3" s="1"/>
  <c r="W50" i="3" s="1"/>
  <c r="AL50" i="3" s="1"/>
  <c r="AA50" i="8"/>
  <c r="AC50" i="8" s="1"/>
  <c r="U50" i="3" s="1"/>
  <c r="X50" i="3" s="1"/>
  <c r="AO50" i="3" s="1"/>
  <c r="R54" i="3"/>
  <c r="AS54" i="3" s="1"/>
  <c r="H54" i="8"/>
  <c r="I54" i="8" s="1"/>
  <c r="S59" i="6"/>
  <c r="Y60" i="6"/>
  <c r="U60" i="6"/>
  <c r="AB60" i="6"/>
  <c r="V60" i="6"/>
  <c r="AA60" i="6"/>
  <c r="Z60" i="6"/>
  <c r="T60" i="6"/>
  <c r="X60" i="6"/>
  <c r="W60" i="6"/>
  <c r="AC60" i="6"/>
  <c r="R58" i="6"/>
  <c r="AA59" i="17" s="1"/>
  <c r="Q58" i="6"/>
  <c r="AD59" i="17" s="1"/>
  <c r="W54" i="9"/>
  <c r="BB54" i="9" s="1"/>
  <c r="AA56" i="7"/>
  <c r="B55" i="9" s="1"/>
  <c r="AG54" i="9"/>
  <c r="M54" i="12"/>
  <c r="X54" i="9"/>
  <c r="O54" i="12"/>
  <c r="B54" i="12" s="1"/>
  <c r="AH54" i="9"/>
  <c r="AM54" i="9" s="1"/>
  <c r="AD56" i="7"/>
  <c r="AC56" i="7"/>
  <c r="M53" i="3"/>
  <c r="M53" i="9" s="1"/>
  <c r="D57" i="6"/>
  <c r="H58" i="6"/>
  <c r="I58" i="6"/>
  <c r="N58" i="6"/>
  <c r="L58" i="6"/>
  <c r="M58" i="6"/>
  <c r="E58" i="6"/>
  <c r="K58" i="6"/>
  <c r="J58" i="6"/>
  <c r="G58" i="6"/>
  <c r="F58" i="6"/>
  <c r="L53" i="3"/>
  <c r="N53" i="9" s="1"/>
  <c r="R53" i="3"/>
  <c r="AS53" i="3" s="1"/>
  <c r="T53" i="8"/>
  <c r="S53" i="8" s="1"/>
  <c r="C56" i="6"/>
  <c r="B56" i="6"/>
  <c r="M59" i="8"/>
  <c r="AU59" i="3"/>
  <c r="P61" i="5"/>
  <c r="K61" i="5"/>
  <c r="J60" i="5"/>
  <c r="G60" i="5" s="1"/>
  <c r="B58" i="5"/>
  <c r="AD59" i="23" s="1"/>
  <c r="S61" i="5"/>
  <c r="L61" i="5"/>
  <c r="N61" i="5"/>
  <c r="Q61" i="5"/>
  <c r="T61" i="5"/>
  <c r="O61" i="5"/>
  <c r="A62" i="5"/>
  <c r="M62" i="5" s="1"/>
  <c r="M61" i="5"/>
  <c r="F59" i="5"/>
  <c r="AF60" i="23" s="1"/>
  <c r="AO59" i="9" s="1"/>
  <c r="C59" i="5"/>
  <c r="D59" i="5"/>
  <c r="I59" i="5"/>
  <c r="AI60" i="23" s="1"/>
  <c r="E59" i="5"/>
  <c r="AE60" i="23" s="1"/>
  <c r="G59" i="5"/>
  <c r="K56" i="9"/>
  <c r="L56" i="9" s="1"/>
  <c r="AH50" i="8"/>
  <c r="AA50" i="9" s="1"/>
  <c r="AD50" i="9" s="1"/>
  <c r="AX50" i="9" s="1"/>
  <c r="R49" i="8"/>
  <c r="AF49" i="8" s="1"/>
  <c r="Z49" i="9" s="1"/>
  <c r="AC49" i="9" s="1"/>
  <c r="AT49" i="9" s="1"/>
  <c r="AV49" i="9" s="1"/>
  <c r="AG49" i="8"/>
  <c r="Y49" i="9" s="1"/>
  <c r="AB49" i="9" s="1"/>
  <c r="AQ49" i="9" s="1"/>
  <c r="AS49" i="9" s="1"/>
  <c r="AG50" i="8"/>
  <c r="Y50" i="9" s="1"/>
  <c r="AB50" i="9" s="1"/>
  <c r="AQ50" i="9" s="1"/>
  <c r="AS50" i="9" s="1"/>
  <c r="AH49" i="8"/>
  <c r="AA49" i="9" s="1"/>
  <c r="AD49" i="9" s="1"/>
  <c r="AX49" i="9" s="1"/>
  <c r="R50" i="8"/>
  <c r="AF50" i="8" s="1"/>
  <c r="Z50" i="9" s="1"/>
  <c r="AC50" i="9" s="1"/>
  <c r="AT50" i="9" s="1"/>
  <c r="AV50" i="9" s="1"/>
  <c r="V50" i="3"/>
  <c r="Y50" i="3" s="1"/>
  <c r="AR50" i="3" s="1"/>
  <c r="BF50" i="3" s="1"/>
  <c r="BG50" i="3" s="1"/>
  <c r="W50" i="11" s="1"/>
  <c r="AH51" i="8"/>
  <c r="AA51" i="9" s="1"/>
  <c r="AD51" i="9" s="1"/>
  <c r="AX51" i="9" s="1"/>
  <c r="T49" i="3"/>
  <c r="W49" i="3" s="1"/>
  <c r="AL49" i="3" s="1"/>
  <c r="U49" i="3"/>
  <c r="X49" i="3" s="1"/>
  <c r="AO49" i="3" s="1"/>
  <c r="V49" i="3"/>
  <c r="Y49" i="3" s="1"/>
  <c r="AR49" i="3" s="1"/>
  <c r="BF49" i="3" s="1"/>
  <c r="BG49" i="3" s="1"/>
  <c r="W49" i="11" s="1"/>
  <c r="K54" i="3"/>
  <c r="M54" i="3"/>
  <c r="M54" i="9" s="1"/>
  <c r="O54" i="9" s="1"/>
  <c r="D54" i="11" s="1"/>
  <c r="I56" i="12"/>
  <c r="A62" i="12"/>
  <c r="H57" i="12"/>
  <c r="L55" i="9"/>
  <c r="F57" i="9"/>
  <c r="F57" i="3"/>
  <c r="I56" i="3"/>
  <c r="A62" i="11"/>
  <c r="Z58" i="3"/>
  <c r="A61" i="8"/>
  <c r="AD59" i="3" l="1"/>
  <c r="C60" i="8"/>
  <c r="D60" i="8" s="1"/>
  <c r="B60" i="8"/>
  <c r="AJ60" i="8" s="1"/>
  <c r="G60" i="8"/>
  <c r="AO61" i="8"/>
  <c r="AN61" i="8"/>
  <c r="AU61" i="8"/>
  <c r="AM61" i="8"/>
  <c r="AT61" i="8"/>
  <c r="AL61" i="8"/>
  <c r="AS61" i="8"/>
  <c r="AP61" i="8"/>
  <c r="AR61" i="8"/>
  <c r="AQ61" i="8"/>
  <c r="AV61" i="8"/>
  <c r="AW61" i="8"/>
  <c r="AX61" i="8"/>
  <c r="AY61" i="8"/>
  <c r="AZ61" i="8"/>
  <c r="BA61" i="8"/>
  <c r="BB61" i="8"/>
  <c r="BC61" i="8"/>
  <c r="BD61" i="8"/>
  <c r="BE61" i="8"/>
  <c r="BF61" i="8"/>
  <c r="G59" i="8"/>
  <c r="C59" i="8"/>
  <c r="D59" i="8" s="1"/>
  <c r="B59" i="8"/>
  <c r="AJ59" i="8" s="1"/>
  <c r="AD58" i="3"/>
  <c r="AK56" i="3"/>
  <c r="AI57" i="3"/>
  <c r="AJ57" i="3"/>
  <c r="BT51" i="9"/>
  <c r="BU51" i="9" s="1"/>
  <c r="R51" i="11" s="1"/>
  <c r="BK51" i="9"/>
  <c r="BL51" i="9" s="1"/>
  <c r="AV51" i="9"/>
  <c r="AK54" i="9"/>
  <c r="AJ54" i="9"/>
  <c r="AL53" i="9"/>
  <c r="AG60" i="23"/>
  <c r="AG61" i="23"/>
  <c r="Q51" i="8"/>
  <c r="O53" i="9"/>
  <c r="D53" i="11" s="1"/>
  <c r="AS51" i="9"/>
  <c r="BX52" i="9"/>
  <c r="BY52" i="9" s="1"/>
  <c r="S52" i="11" s="1"/>
  <c r="P52" i="11" s="1"/>
  <c r="X51" i="8"/>
  <c r="Y51" i="8" s="1"/>
  <c r="AA51" i="8" s="1"/>
  <c r="AC51" i="8" s="1"/>
  <c r="U51" i="3" s="1"/>
  <c r="X51" i="3" s="1"/>
  <c r="AO51" i="3" s="1"/>
  <c r="BB51" i="3" s="1"/>
  <c r="BC51" i="3" s="1"/>
  <c r="X51" i="11" s="1"/>
  <c r="H53" i="8"/>
  <c r="I53" i="8" s="1"/>
  <c r="W53" i="9"/>
  <c r="BB53" i="9" s="1"/>
  <c r="AJ54" i="23"/>
  <c r="AK54" i="23" s="1"/>
  <c r="X53" i="9"/>
  <c r="L53" i="8" s="1"/>
  <c r="J55" i="9"/>
  <c r="H55" i="8" s="1"/>
  <c r="I55" i="8" s="1"/>
  <c r="Q55" i="9"/>
  <c r="BC52" i="9"/>
  <c r="BQ52" i="9" s="1"/>
  <c r="BR52" i="9" s="1"/>
  <c r="G59" i="12"/>
  <c r="R57" i="9"/>
  <c r="E59" i="9"/>
  <c r="E59" i="3"/>
  <c r="F59" i="12"/>
  <c r="G58" i="3"/>
  <c r="N58" i="3" s="1"/>
  <c r="E58" i="12"/>
  <c r="G58" i="9"/>
  <c r="AC70" i="23"/>
  <c r="U71" i="23"/>
  <c r="A66" i="6"/>
  <c r="AB67" i="22"/>
  <c r="T68" i="22"/>
  <c r="U69" i="22"/>
  <c r="P68" i="6" s="1"/>
  <c r="AC68" i="22"/>
  <c r="O49" i="11"/>
  <c r="BN52" i="9"/>
  <c r="D52" i="11"/>
  <c r="P57" i="12"/>
  <c r="P58" i="12"/>
  <c r="B58" i="3"/>
  <c r="K58" i="12"/>
  <c r="J52" i="8"/>
  <c r="R52" i="8" s="1"/>
  <c r="AF52" i="8" s="1"/>
  <c r="V52" i="8"/>
  <c r="AZ52" i="3"/>
  <c r="BA52" i="3" s="1"/>
  <c r="Z52" i="11" s="1"/>
  <c r="W52" i="8"/>
  <c r="AU52" i="9"/>
  <c r="BV52" i="9" s="1"/>
  <c r="BW52" i="9" s="1"/>
  <c r="O52" i="11" s="1"/>
  <c r="AR52" i="9"/>
  <c r="Q59" i="6"/>
  <c r="AD60" i="17" s="1"/>
  <c r="R59" i="6"/>
  <c r="AA60" i="17" s="1"/>
  <c r="S60" i="6"/>
  <c r="V61" i="6"/>
  <c r="T61" i="6"/>
  <c r="AA61" i="6"/>
  <c r="Y61" i="6"/>
  <c r="X61" i="6"/>
  <c r="U61" i="6"/>
  <c r="AC61" i="6"/>
  <c r="Z61" i="6"/>
  <c r="W61" i="6"/>
  <c r="AB61" i="6"/>
  <c r="AZ54" i="3"/>
  <c r="BA54" i="3" s="1"/>
  <c r="Z54" i="11" s="1"/>
  <c r="J55" i="12"/>
  <c r="L54" i="8"/>
  <c r="AA57" i="7"/>
  <c r="B56" i="9" s="1"/>
  <c r="BX54" i="9"/>
  <c r="BY54" i="9" s="1"/>
  <c r="S54" i="11" s="1"/>
  <c r="P54" i="11" s="1"/>
  <c r="U53" i="9"/>
  <c r="AZ53" i="9" s="1"/>
  <c r="BM53" i="9" s="1"/>
  <c r="V53" i="9"/>
  <c r="BA53" i="9" s="1"/>
  <c r="S53" i="9"/>
  <c r="K53" i="8" s="1"/>
  <c r="N53" i="8" s="1"/>
  <c r="O53" i="8" s="1"/>
  <c r="P53" i="8" s="1"/>
  <c r="T53" i="9"/>
  <c r="AC57" i="7"/>
  <c r="AD57" i="7"/>
  <c r="M55" i="12"/>
  <c r="AG55" i="9"/>
  <c r="AH55" i="9"/>
  <c r="AM55" i="9" s="1"/>
  <c r="O55" i="12"/>
  <c r="B55" i="12" s="1"/>
  <c r="P53" i="9"/>
  <c r="H59" i="6"/>
  <c r="L59" i="6"/>
  <c r="K59" i="6"/>
  <c r="I59" i="6"/>
  <c r="E59" i="6"/>
  <c r="N59" i="6"/>
  <c r="J59" i="6"/>
  <c r="F59" i="6"/>
  <c r="G59" i="6"/>
  <c r="M59" i="6"/>
  <c r="P55" i="3"/>
  <c r="AM55" i="3" s="1"/>
  <c r="Q55" i="3"/>
  <c r="H55" i="3"/>
  <c r="O55" i="3"/>
  <c r="D58" i="6"/>
  <c r="C57" i="6"/>
  <c r="B57" i="6"/>
  <c r="M60" i="8"/>
  <c r="AU60" i="3"/>
  <c r="AN49" i="3"/>
  <c r="AX49" i="3"/>
  <c r="BB49" i="3"/>
  <c r="BC49" i="3" s="1"/>
  <c r="X49" i="11" s="1"/>
  <c r="BB50" i="3"/>
  <c r="BC50" i="3" s="1"/>
  <c r="X50" i="11" s="1"/>
  <c r="AN50" i="3"/>
  <c r="AX50" i="3"/>
  <c r="C60" i="5"/>
  <c r="E60" i="5"/>
  <c r="AE61" i="23" s="1"/>
  <c r="F60" i="5"/>
  <c r="AF61" i="23" s="1"/>
  <c r="AO60" i="9" s="1"/>
  <c r="I60" i="5"/>
  <c r="AI61" i="23" s="1"/>
  <c r="H60" i="5"/>
  <c r="D60" i="5"/>
  <c r="P62" i="5"/>
  <c r="T62" i="5"/>
  <c r="K62" i="5"/>
  <c r="J61" i="5"/>
  <c r="F61" i="5" s="1"/>
  <c r="AF62" i="23" s="1"/>
  <c r="AO61" i="9" s="1"/>
  <c r="O62" i="5"/>
  <c r="Q62" i="5"/>
  <c r="A63" i="5"/>
  <c r="K63" i="5" s="1"/>
  <c r="R62" i="5"/>
  <c r="S62" i="5"/>
  <c r="N62" i="5"/>
  <c r="L62" i="5"/>
  <c r="B59" i="5"/>
  <c r="AD60" i="23" s="1"/>
  <c r="K57" i="9"/>
  <c r="AI49" i="8"/>
  <c r="Q49" i="12" s="1"/>
  <c r="AI50" i="8"/>
  <c r="Q50" i="12" s="1"/>
  <c r="AI51" i="8"/>
  <c r="Q51" i="12" s="1"/>
  <c r="S54" i="9"/>
  <c r="K54" i="8" s="1"/>
  <c r="N54" i="8" s="1"/>
  <c r="O54" i="8" s="1"/>
  <c r="P54" i="8" s="1"/>
  <c r="V54" i="9"/>
  <c r="BA54" i="9" s="1"/>
  <c r="BC54" i="9" s="1"/>
  <c r="BQ54" i="9" s="1"/>
  <c r="BI50" i="9"/>
  <c r="BJ50" i="9" s="1"/>
  <c r="BI49" i="9"/>
  <c r="BJ49" i="9" s="1"/>
  <c r="BI51" i="9"/>
  <c r="BJ51" i="9" s="1"/>
  <c r="T54" i="9"/>
  <c r="W54" i="8" s="1"/>
  <c r="U54" i="9"/>
  <c r="AZ54" i="9" s="1"/>
  <c r="BM54" i="9" s="1"/>
  <c r="J56" i="3"/>
  <c r="A63" i="12"/>
  <c r="I57" i="12"/>
  <c r="H58" i="12"/>
  <c r="I57" i="3"/>
  <c r="F58" i="3"/>
  <c r="F58" i="9"/>
  <c r="A63" i="11"/>
  <c r="Z59" i="3"/>
  <c r="A62" i="8"/>
  <c r="AK61" i="8" l="1"/>
  <c r="AU62" i="8"/>
  <c r="AM62" i="8"/>
  <c r="AT62" i="8"/>
  <c r="AL62" i="8"/>
  <c r="AS62" i="8"/>
  <c r="AR62" i="8"/>
  <c r="AQ62" i="8"/>
  <c r="AN62" i="8"/>
  <c r="AO62" i="8"/>
  <c r="AP62" i="8"/>
  <c r="AV62" i="8"/>
  <c r="AW62" i="8"/>
  <c r="AX62" i="8"/>
  <c r="AY62" i="8"/>
  <c r="AZ62" i="8"/>
  <c r="BA62" i="8"/>
  <c r="BB62" i="8"/>
  <c r="BC62" i="8"/>
  <c r="BD62" i="8"/>
  <c r="BE62" i="8"/>
  <c r="BF62" i="8"/>
  <c r="AH61" i="23"/>
  <c r="U60" i="12" s="1"/>
  <c r="AK57" i="3"/>
  <c r="AJ58" i="3"/>
  <c r="BT52" i="9"/>
  <c r="BU52" i="9" s="1"/>
  <c r="R52" i="11" s="1"/>
  <c r="BK52" i="9"/>
  <c r="BL52" i="9" s="1"/>
  <c r="AY49" i="3"/>
  <c r="V49" i="11" s="1"/>
  <c r="BH49" i="3"/>
  <c r="BI49" i="3" s="1"/>
  <c r="AA49" i="11" s="1"/>
  <c r="H49" i="11" s="1"/>
  <c r="AY50" i="3"/>
  <c r="V50" i="11" s="1"/>
  <c r="BH50" i="3"/>
  <c r="BI50" i="3" s="1"/>
  <c r="AA50" i="11" s="1"/>
  <c r="H50" i="11" s="1"/>
  <c r="AL54" i="9"/>
  <c r="AU54" i="9" s="1"/>
  <c r="BV54" i="9" s="1"/>
  <c r="BW54" i="9" s="1"/>
  <c r="O54" i="11" s="1"/>
  <c r="AK55" i="9"/>
  <c r="AJ55" i="9"/>
  <c r="BN53" i="9"/>
  <c r="BX53" i="9"/>
  <c r="BY53" i="9" s="1"/>
  <c r="S53" i="11" s="1"/>
  <c r="P53" i="11" s="1"/>
  <c r="AD51" i="8"/>
  <c r="T51" i="3" s="1"/>
  <c r="W51" i="3" s="1"/>
  <c r="AL51" i="3" s="1"/>
  <c r="AX51" i="3" s="1"/>
  <c r="Z51" i="8"/>
  <c r="AE51" i="8" s="1"/>
  <c r="V51" i="3" s="1"/>
  <c r="Y51" i="3" s="1"/>
  <c r="AR51" i="3" s="1"/>
  <c r="BF51" i="3" s="1"/>
  <c r="BG51" i="3" s="1"/>
  <c r="W51" i="11" s="1"/>
  <c r="BC53" i="9"/>
  <c r="BQ53" i="9" s="1"/>
  <c r="BR53" i="9" s="1"/>
  <c r="AZ53" i="3"/>
  <c r="BA53" i="3" s="1"/>
  <c r="Z53" i="11" s="1"/>
  <c r="W55" i="9"/>
  <c r="BB55" i="9" s="1"/>
  <c r="X55" i="9"/>
  <c r="L55" i="8" s="1"/>
  <c r="AJ56" i="23"/>
  <c r="AK56" i="23" s="1"/>
  <c r="J56" i="9"/>
  <c r="AJ57" i="23" s="1"/>
  <c r="AK57" i="23" s="1"/>
  <c r="Q56" i="9"/>
  <c r="E59" i="12"/>
  <c r="G59" i="9"/>
  <c r="G59" i="3"/>
  <c r="N59" i="3" s="1"/>
  <c r="G60" i="12"/>
  <c r="R58" i="9"/>
  <c r="G61" i="12"/>
  <c r="F60" i="12"/>
  <c r="E60" i="3"/>
  <c r="E60" i="9"/>
  <c r="A67" i="6"/>
  <c r="AB68" i="22"/>
  <c r="T69" i="22"/>
  <c r="AC71" i="23"/>
  <c r="U72" i="23"/>
  <c r="U70" i="22"/>
  <c r="P69" i="6" s="1"/>
  <c r="AC69" i="22"/>
  <c r="AC58" i="3"/>
  <c r="AI58" i="3" s="1"/>
  <c r="B59" i="3"/>
  <c r="K59" i="12"/>
  <c r="P59" i="12"/>
  <c r="X52" i="8"/>
  <c r="Y52" i="8" s="1"/>
  <c r="Z52" i="8" s="1"/>
  <c r="AE52" i="8" s="1"/>
  <c r="V52" i="3" s="1"/>
  <c r="Y52" i="3" s="1"/>
  <c r="AR52" i="3" s="1"/>
  <c r="BF52" i="3" s="1"/>
  <c r="BG52" i="3" s="1"/>
  <c r="W52" i="11" s="1"/>
  <c r="J53" i="8"/>
  <c r="H56" i="3"/>
  <c r="M56" i="3" s="1"/>
  <c r="M56" i="9" s="1"/>
  <c r="J56" i="12"/>
  <c r="S61" i="6"/>
  <c r="R60" i="6"/>
  <c r="AA61" i="17" s="1"/>
  <c r="Q60" i="6"/>
  <c r="AD61" i="17" s="1"/>
  <c r="V62" i="6"/>
  <c r="U62" i="6"/>
  <c r="T62" i="6"/>
  <c r="X62" i="6"/>
  <c r="W62" i="6"/>
  <c r="Z62" i="6"/>
  <c r="AB62" i="6"/>
  <c r="AA62" i="6"/>
  <c r="Y62" i="6"/>
  <c r="AC62" i="6"/>
  <c r="AA58" i="7"/>
  <c r="J57" i="12" s="1"/>
  <c r="W53" i="8"/>
  <c r="AR53" i="9"/>
  <c r="AU53" i="9"/>
  <c r="BV53" i="9" s="1"/>
  <c r="BW53" i="9" s="1"/>
  <c r="O53" i="11" s="1"/>
  <c r="V53" i="8"/>
  <c r="O56" i="12"/>
  <c r="B56" i="12" s="1"/>
  <c r="AH56" i="9"/>
  <c r="AM56" i="9" s="1"/>
  <c r="AC58" i="7"/>
  <c r="AD58" i="7"/>
  <c r="M56" i="12"/>
  <c r="AG56" i="9"/>
  <c r="B58" i="6"/>
  <c r="C58" i="6"/>
  <c r="F60" i="6"/>
  <c r="L60" i="6"/>
  <c r="I60" i="6"/>
  <c r="K60" i="6"/>
  <c r="G60" i="6"/>
  <c r="M60" i="6"/>
  <c r="N60" i="6"/>
  <c r="E60" i="6"/>
  <c r="H60" i="6"/>
  <c r="J60" i="6"/>
  <c r="L55" i="3"/>
  <c r="N55" i="9" s="1"/>
  <c r="M55" i="3"/>
  <c r="M55" i="9" s="1"/>
  <c r="K55" i="3"/>
  <c r="R55" i="3"/>
  <c r="AS55" i="3" s="1"/>
  <c r="D59" i="6"/>
  <c r="T55" i="8"/>
  <c r="S55" i="8" s="1"/>
  <c r="AH53" i="8"/>
  <c r="AA53" i="9" s="1"/>
  <c r="AD53" i="9" s="1"/>
  <c r="AX53" i="9" s="1"/>
  <c r="V54" i="8"/>
  <c r="X54" i="8" s="1"/>
  <c r="Y54" i="8" s="1"/>
  <c r="AA54" i="8" s="1"/>
  <c r="AC54" i="8" s="1"/>
  <c r="M61" i="8"/>
  <c r="AU61" i="3"/>
  <c r="B60" i="5"/>
  <c r="AD61" i="23" s="1"/>
  <c r="L57" i="9"/>
  <c r="A64" i="5"/>
  <c r="P64" i="5" s="1"/>
  <c r="O63" i="5"/>
  <c r="Q63" i="5"/>
  <c r="N63" i="5"/>
  <c r="K58" i="9"/>
  <c r="L58" i="9" s="1"/>
  <c r="T63" i="5"/>
  <c r="R63" i="5"/>
  <c r="D61" i="5"/>
  <c r="S63" i="5"/>
  <c r="E61" i="5"/>
  <c r="AE62" i="23" s="1"/>
  <c r="P63" i="5"/>
  <c r="C61" i="5"/>
  <c r="H61" i="5"/>
  <c r="L63" i="5"/>
  <c r="J62" i="5"/>
  <c r="D62" i="5" s="1"/>
  <c r="M63" i="5"/>
  <c r="G61" i="5"/>
  <c r="I61" i="5"/>
  <c r="AI62" i="23" s="1"/>
  <c r="I58" i="3"/>
  <c r="AH52" i="8"/>
  <c r="AA52" i="9" s="1"/>
  <c r="AD52" i="9" s="1"/>
  <c r="AX52" i="9" s="1"/>
  <c r="Q52" i="8"/>
  <c r="AG52" i="8"/>
  <c r="Y52" i="9" s="1"/>
  <c r="AB52" i="9" s="1"/>
  <c r="AQ52" i="9" s="1"/>
  <c r="AS52" i="9" s="1"/>
  <c r="J54" i="8"/>
  <c r="AR54" i="9"/>
  <c r="BR54" i="9"/>
  <c r="Z52" i="9"/>
  <c r="AC52" i="9" s="1"/>
  <c r="AT52" i="9" s="1"/>
  <c r="AV52" i="9" s="1"/>
  <c r="BN54" i="9"/>
  <c r="A64" i="12"/>
  <c r="I58" i="12"/>
  <c r="H59" i="12"/>
  <c r="F59" i="9"/>
  <c r="F59" i="3"/>
  <c r="J57" i="3"/>
  <c r="A64" i="11"/>
  <c r="Z60" i="3"/>
  <c r="A63" i="8"/>
  <c r="AK62" i="8" l="1"/>
  <c r="AS63" i="8"/>
  <c r="AR63" i="8"/>
  <c r="AQ63" i="8"/>
  <c r="AP63" i="8"/>
  <c r="AO63" i="8"/>
  <c r="AT63" i="8"/>
  <c r="AL63" i="8"/>
  <c r="AU63" i="8"/>
  <c r="AN63" i="8"/>
  <c r="AM63" i="8"/>
  <c r="AV63" i="8"/>
  <c r="AW63" i="8"/>
  <c r="AX63" i="8"/>
  <c r="AY63" i="8"/>
  <c r="AZ63" i="8"/>
  <c r="BA63" i="8"/>
  <c r="BB63" i="8"/>
  <c r="BC63" i="8"/>
  <c r="BD63" i="8"/>
  <c r="BE63" i="8"/>
  <c r="BF63" i="8"/>
  <c r="G61" i="8"/>
  <c r="B61" i="8"/>
  <c r="AJ61" i="8" s="1"/>
  <c r="C61" i="8"/>
  <c r="D61" i="8" s="1"/>
  <c r="AD60" i="3"/>
  <c r="AH62" i="23"/>
  <c r="U61" i="12" s="1"/>
  <c r="AK58" i="3"/>
  <c r="AJ59" i="3"/>
  <c r="BT53" i="9"/>
  <c r="BU53" i="9" s="1"/>
  <c r="R53" i="11" s="1"/>
  <c r="BK53" i="9"/>
  <c r="BL53" i="9" s="1"/>
  <c r="AY51" i="3"/>
  <c r="V51" i="11" s="1"/>
  <c r="BH51" i="3"/>
  <c r="BI51" i="3" s="1"/>
  <c r="AA51" i="11" s="1"/>
  <c r="H51" i="11" s="1"/>
  <c r="BT54" i="9"/>
  <c r="BU54" i="9" s="1"/>
  <c r="R54" i="11" s="1"/>
  <c r="BK54" i="9"/>
  <c r="BL54" i="9" s="1"/>
  <c r="AL55" i="9"/>
  <c r="AK56" i="9"/>
  <c r="AJ56" i="9"/>
  <c r="AN51" i="3"/>
  <c r="AG62" i="23"/>
  <c r="W56" i="9"/>
  <c r="BB56" i="9" s="1"/>
  <c r="X56" i="9"/>
  <c r="L56" i="8" s="1"/>
  <c r="H56" i="8"/>
  <c r="I56" i="8" s="1"/>
  <c r="O56" i="9"/>
  <c r="D56" i="11" s="1"/>
  <c r="G60" i="9"/>
  <c r="G60" i="3"/>
  <c r="N60" i="3" s="1"/>
  <c r="E60" i="12"/>
  <c r="R59" i="9"/>
  <c r="E61" i="3"/>
  <c r="F61" i="12"/>
  <c r="E61" i="9"/>
  <c r="AC72" i="23"/>
  <c r="U73" i="23"/>
  <c r="A68" i="6"/>
  <c r="AB69" i="22"/>
  <c r="T70" i="22"/>
  <c r="U71" i="22"/>
  <c r="P70" i="6" s="1"/>
  <c r="AC70" i="22"/>
  <c r="AC59" i="3"/>
  <c r="AI59" i="3" s="1"/>
  <c r="P60" i="12"/>
  <c r="K60" i="12"/>
  <c r="B60" i="3"/>
  <c r="AD52" i="8"/>
  <c r="T52" i="3" s="1"/>
  <c r="W52" i="3" s="1"/>
  <c r="AL52" i="3" s="1"/>
  <c r="AX52" i="3" s="1"/>
  <c r="AA52" i="8"/>
  <c r="AC52" i="8" s="1"/>
  <c r="U52" i="3" s="1"/>
  <c r="X52" i="3" s="1"/>
  <c r="AO52" i="3" s="1"/>
  <c r="S62" i="6"/>
  <c r="Q62" i="6" s="1"/>
  <c r="AD63" i="17" s="1"/>
  <c r="Q56" i="3"/>
  <c r="P56" i="3"/>
  <c r="O56" i="3"/>
  <c r="O57" i="3"/>
  <c r="B57" i="9"/>
  <c r="AA63" i="6"/>
  <c r="V63" i="6"/>
  <c r="U63" i="6"/>
  <c r="Y63" i="6"/>
  <c r="AC63" i="6"/>
  <c r="T63" i="6"/>
  <c r="AB63" i="6"/>
  <c r="X63" i="6"/>
  <c r="Z63" i="6"/>
  <c r="W63" i="6"/>
  <c r="Q61" i="6"/>
  <c r="AD62" i="17" s="1"/>
  <c r="R61" i="6"/>
  <c r="AA62" i="17" s="1"/>
  <c r="AA59" i="7"/>
  <c r="B58" i="9" s="1"/>
  <c r="X53" i="8"/>
  <c r="Y53" i="8" s="1"/>
  <c r="Z53" i="8" s="1"/>
  <c r="AE53" i="8" s="1"/>
  <c r="V53" i="3" s="1"/>
  <c r="Y53" i="3" s="1"/>
  <c r="AR53" i="3" s="1"/>
  <c r="BF53" i="3" s="1"/>
  <c r="BG53" i="3" s="1"/>
  <c r="W53" i="11" s="1"/>
  <c r="O57" i="12"/>
  <c r="B57" i="12" s="1"/>
  <c r="AH57" i="9"/>
  <c r="AM57" i="9" s="1"/>
  <c r="AG57" i="9"/>
  <c r="M57" i="12"/>
  <c r="AD59" i="7"/>
  <c r="AC59" i="7"/>
  <c r="S55" i="9"/>
  <c r="K55" i="8" s="1"/>
  <c r="V55" i="9"/>
  <c r="BA55" i="9" s="1"/>
  <c r="BC55" i="9" s="1"/>
  <c r="BQ55" i="9" s="1"/>
  <c r="U55" i="9"/>
  <c r="AZ55" i="9" s="1"/>
  <c r="BM55" i="9" s="1"/>
  <c r="O55" i="9"/>
  <c r="D55" i="11" s="1"/>
  <c r="T55" i="9"/>
  <c r="W55" i="8" s="1"/>
  <c r="R56" i="3"/>
  <c r="AS56" i="3" s="1"/>
  <c r="L56" i="3"/>
  <c r="N56" i="9" s="1"/>
  <c r="K56" i="3"/>
  <c r="Q57" i="3"/>
  <c r="P55" i="9"/>
  <c r="M61" i="6"/>
  <c r="I61" i="6"/>
  <c r="E61" i="6"/>
  <c r="H61" i="6"/>
  <c r="N61" i="6"/>
  <c r="G61" i="6"/>
  <c r="F61" i="6"/>
  <c r="J61" i="6"/>
  <c r="L61" i="6"/>
  <c r="K61" i="6"/>
  <c r="B59" i="6"/>
  <c r="C59" i="6"/>
  <c r="D60" i="6"/>
  <c r="AZ55" i="3"/>
  <c r="BA55" i="3" s="1"/>
  <c r="Z55" i="11" s="1"/>
  <c r="BX55" i="9"/>
  <c r="AG53" i="8"/>
  <c r="Y53" i="9" s="1"/>
  <c r="AB53" i="9" s="1"/>
  <c r="AQ53" i="9" s="1"/>
  <c r="AS53" i="9" s="1"/>
  <c r="AH54" i="8"/>
  <c r="AA54" i="9" s="1"/>
  <c r="AD54" i="9" s="1"/>
  <c r="AX54" i="9" s="1"/>
  <c r="Q53" i="8"/>
  <c r="T64" i="5"/>
  <c r="R53" i="8"/>
  <c r="AF53" i="8" s="1"/>
  <c r="M62" i="8"/>
  <c r="AU62" i="3"/>
  <c r="L64" i="5"/>
  <c r="S64" i="5"/>
  <c r="A65" i="5"/>
  <c r="T65" i="5" s="1"/>
  <c r="Q64" i="5"/>
  <c r="M64" i="5"/>
  <c r="K64" i="5"/>
  <c r="O64" i="5"/>
  <c r="R64" i="5"/>
  <c r="N64" i="5"/>
  <c r="J58" i="3"/>
  <c r="H62" i="5"/>
  <c r="E62" i="5"/>
  <c r="AE63" i="23" s="1"/>
  <c r="G62" i="5"/>
  <c r="C62" i="5"/>
  <c r="B62" i="5" s="1"/>
  <c r="AD63" i="23" s="1"/>
  <c r="I62" i="5"/>
  <c r="AI63" i="23" s="1"/>
  <c r="J63" i="5"/>
  <c r="H63" i="5" s="1"/>
  <c r="F62" i="5"/>
  <c r="AF63" i="23" s="1"/>
  <c r="AO62" i="9" s="1"/>
  <c r="B61" i="5"/>
  <c r="AD62" i="23" s="1"/>
  <c r="K59" i="9"/>
  <c r="L59" i="9" s="1"/>
  <c r="Z54" i="8"/>
  <c r="AE54" i="8" s="1"/>
  <c r="V54" i="3" s="1"/>
  <c r="Y54" i="3" s="1"/>
  <c r="AR54" i="3" s="1"/>
  <c r="BF54" i="3" s="1"/>
  <c r="BG54" i="3" s="1"/>
  <c r="W54" i="11" s="1"/>
  <c r="AD54" i="8"/>
  <c r="T54" i="3" s="1"/>
  <c r="W54" i="3" s="1"/>
  <c r="AL54" i="3" s="1"/>
  <c r="AI52" i="8"/>
  <c r="Q52" i="12" s="1"/>
  <c r="U54" i="3"/>
  <c r="X54" i="3" s="1"/>
  <c r="AO54" i="3" s="1"/>
  <c r="S56" i="9"/>
  <c r="K56" i="8" s="1"/>
  <c r="N56" i="8" s="1"/>
  <c r="O56" i="8" s="1"/>
  <c r="P56" i="8" s="1"/>
  <c r="V56" i="9"/>
  <c r="BA56" i="9" s="1"/>
  <c r="BI52" i="9"/>
  <c r="BJ52" i="9" s="1"/>
  <c r="U56" i="9"/>
  <c r="AZ56" i="9" s="1"/>
  <c r="BM56" i="9" s="1"/>
  <c r="T56" i="9"/>
  <c r="A65" i="12"/>
  <c r="I59" i="12"/>
  <c r="H60" i="12"/>
  <c r="I59" i="3"/>
  <c r="F60" i="9"/>
  <c r="F60" i="3"/>
  <c r="A65" i="11"/>
  <c r="Z61" i="3"/>
  <c r="A64" i="8"/>
  <c r="AQ64" i="8" l="1"/>
  <c r="AP64" i="8"/>
  <c r="AO64" i="8"/>
  <c r="AN64" i="8"/>
  <c r="AU64" i="8"/>
  <c r="AM64" i="8"/>
  <c r="AR64" i="8"/>
  <c r="AT64" i="8"/>
  <c r="AS64" i="8"/>
  <c r="AL64" i="8"/>
  <c r="AV64" i="8"/>
  <c r="AW64" i="8"/>
  <c r="AX64" i="8"/>
  <c r="AY64" i="8"/>
  <c r="AZ64" i="8"/>
  <c r="BA64" i="8"/>
  <c r="BB64" i="8"/>
  <c r="BC64" i="8"/>
  <c r="BD64" i="8"/>
  <c r="BE64" i="8"/>
  <c r="BF64" i="8"/>
  <c r="AK63" i="8"/>
  <c r="C62" i="8"/>
  <c r="D62" i="8" s="1"/>
  <c r="B62" i="8"/>
  <c r="AJ62" i="8" s="1"/>
  <c r="G62" i="8"/>
  <c r="AD61" i="3"/>
  <c r="AH64" i="23"/>
  <c r="U63" i="12" s="1"/>
  <c r="AH63" i="23"/>
  <c r="U62" i="12" s="1"/>
  <c r="T56" i="8"/>
  <c r="S56" i="8" s="1"/>
  <c r="AM56" i="3"/>
  <c r="BX56" i="9" s="1"/>
  <c r="BY56" i="9" s="1"/>
  <c r="S56" i="11" s="1"/>
  <c r="P56" i="11" s="1"/>
  <c r="AK59" i="3"/>
  <c r="AJ60" i="3"/>
  <c r="AY52" i="3"/>
  <c r="V52" i="11" s="1"/>
  <c r="AL56" i="9"/>
  <c r="AU56" i="9" s="1"/>
  <c r="BV56" i="9" s="1"/>
  <c r="BW56" i="9" s="1"/>
  <c r="O56" i="11" s="1"/>
  <c r="AK57" i="9"/>
  <c r="AJ57" i="9"/>
  <c r="BC56" i="9"/>
  <c r="BQ56" i="9" s="1"/>
  <c r="BR56" i="9" s="1"/>
  <c r="AG63" i="23"/>
  <c r="J57" i="9"/>
  <c r="AJ58" i="23" s="1"/>
  <c r="AK58" i="23" s="1"/>
  <c r="Q57" i="9"/>
  <c r="J58" i="9"/>
  <c r="X58" i="9" s="1"/>
  <c r="L58" i="8" s="1"/>
  <c r="Q58" i="9"/>
  <c r="G61" i="9"/>
  <c r="G61" i="3"/>
  <c r="N61" i="3" s="1"/>
  <c r="E61" i="12"/>
  <c r="G62" i="12"/>
  <c r="R60" i="9"/>
  <c r="F62" i="12"/>
  <c r="E62" i="9"/>
  <c r="E62" i="3"/>
  <c r="G62" i="3"/>
  <c r="G62" i="9"/>
  <c r="E62" i="12"/>
  <c r="AC73" i="23"/>
  <c r="U74" i="23"/>
  <c r="A69" i="6"/>
  <c r="AB70" i="22"/>
  <c r="T71" i="22"/>
  <c r="U72" i="22"/>
  <c r="P71" i="6" s="1"/>
  <c r="AC71" i="22"/>
  <c r="AC60" i="3"/>
  <c r="AI60" i="3" s="1"/>
  <c r="B61" i="3"/>
  <c r="K61" i="12"/>
  <c r="AN52" i="3"/>
  <c r="P61" i="12"/>
  <c r="P62" i="12"/>
  <c r="BB52" i="3"/>
  <c r="BC52" i="3" s="1"/>
  <c r="X52" i="11" s="1"/>
  <c r="R62" i="6"/>
  <c r="AA63" i="17" s="1"/>
  <c r="P57" i="3"/>
  <c r="J58" i="12"/>
  <c r="H57" i="3"/>
  <c r="M57" i="3" s="1"/>
  <c r="M57" i="9" s="1"/>
  <c r="Y64" i="6"/>
  <c r="AB64" i="6"/>
  <c r="Z64" i="6"/>
  <c r="V64" i="6"/>
  <c r="U64" i="6"/>
  <c r="T64" i="6"/>
  <c r="W64" i="6"/>
  <c r="AA64" i="6"/>
  <c r="AC64" i="6"/>
  <c r="X64" i="6"/>
  <c r="P58" i="3"/>
  <c r="AM58" i="3" s="1"/>
  <c r="AA53" i="8"/>
  <c r="AC53" i="8" s="1"/>
  <c r="U53" i="3" s="1"/>
  <c r="X53" i="3" s="1"/>
  <c r="AO53" i="3" s="1"/>
  <c r="BB53" i="3" s="1"/>
  <c r="BC53" i="3" s="1"/>
  <c r="X53" i="11" s="1"/>
  <c r="S63" i="6"/>
  <c r="AA60" i="7"/>
  <c r="B59" i="9" s="1"/>
  <c r="AD53" i="8"/>
  <c r="T53" i="3" s="1"/>
  <c r="W53" i="3" s="1"/>
  <c r="AL53" i="3" s="1"/>
  <c r="AX53" i="3" s="1"/>
  <c r="AH58" i="9"/>
  <c r="AM58" i="9" s="1"/>
  <c r="O58" i="12"/>
  <c r="B58" i="12" s="1"/>
  <c r="AG58" i="9"/>
  <c r="M58" i="12"/>
  <c r="AD60" i="7"/>
  <c r="AC60" i="7"/>
  <c r="AR55" i="9"/>
  <c r="N62" i="6"/>
  <c r="F62" i="6"/>
  <c r="I62" i="6"/>
  <c r="J62" i="6"/>
  <c r="L62" i="6"/>
  <c r="E62" i="6"/>
  <c r="K62" i="6"/>
  <c r="M62" i="6"/>
  <c r="H62" i="6"/>
  <c r="G62" i="6"/>
  <c r="B60" i="6"/>
  <c r="C60" i="6"/>
  <c r="BR55" i="9"/>
  <c r="BY55" i="9"/>
  <c r="S55" i="11" s="1"/>
  <c r="P55" i="11" s="1"/>
  <c r="BN55" i="9"/>
  <c r="AU55" i="9"/>
  <c r="D61" i="6"/>
  <c r="N55" i="8"/>
  <c r="O55" i="8" s="1"/>
  <c r="J55" i="8"/>
  <c r="P56" i="9"/>
  <c r="AR56" i="9"/>
  <c r="AI53" i="8"/>
  <c r="Q53" i="12" s="1"/>
  <c r="AG54" i="8"/>
  <c r="Y54" i="9" s="1"/>
  <c r="AB54" i="9" s="1"/>
  <c r="AQ54" i="9" s="1"/>
  <c r="AS54" i="9" s="1"/>
  <c r="Q54" i="8"/>
  <c r="R54" i="8"/>
  <c r="AF54" i="8" s="1"/>
  <c r="Z54" i="9" s="1"/>
  <c r="AC54" i="9" s="1"/>
  <c r="AT54" i="9" s="1"/>
  <c r="AV54" i="9" s="1"/>
  <c r="I60" i="3"/>
  <c r="J60" i="3" s="1"/>
  <c r="Z53" i="9"/>
  <c r="AC53" i="9" s="1"/>
  <c r="AT53" i="9" s="1"/>
  <c r="BI53" i="9" s="1"/>
  <c r="BJ53" i="9" s="1"/>
  <c r="M63" i="8"/>
  <c r="AU63" i="3"/>
  <c r="V56" i="8"/>
  <c r="AN54" i="3"/>
  <c r="AX54" i="3"/>
  <c r="BB54" i="3"/>
  <c r="BC54" i="3" s="1"/>
  <c r="X54" i="11" s="1"/>
  <c r="N65" i="5"/>
  <c r="A66" i="5"/>
  <c r="L66" i="5" s="1"/>
  <c r="O65" i="5"/>
  <c r="Q65" i="5"/>
  <c r="P65" i="5"/>
  <c r="R65" i="5"/>
  <c r="S65" i="5"/>
  <c r="M65" i="5"/>
  <c r="K65" i="5"/>
  <c r="L65" i="5"/>
  <c r="J64" i="5"/>
  <c r="C64" i="5" s="1"/>
  <c r="E63" i="5"/>
  <c r="AE64" i="23" s="1"/>
  <c r="C63" i="5"/>
  <c r="G63" i="5"/>
  <c r="D63" i="5"/>
  <c r="I63" i="5"/>
  <c r="AI64" i="23" s="1"/>
  <c r="F63" i="5"/>
  <c r="AF64" i="23" s="1"/>
  <c r="AO63" i="9" s="1"/>
  <c r="J56" i="8"/>
  <c r="BN56" i="9"/>
  <c r="J59" i="3"/>
  <c r="A66" i="12"/>
  <c r="I60" i="12"/>
  <c r="H61" i="12"/>
  <c r="F61" i="9"/>
  <c r="F61" i="3"/>
  <c r="K60" i="9"/>
  <c r="A66" i="11"/>
  <c r="Z62" i="3"/>
  <c r="A65" i="8"/>
  <c r="G63" i="8" l="1"/>
  <c r="B63" i="8"/>
  <c r="AJ63" i="8" s="1"/>
  <c r="C63" i="8"/>
  <c r="D63" i="8" s="1"/>
  <c r="AK64" i="8"/>
  <c r="AO65" i="8"/>
  <c r="AN65" i="8"/>
  <c r="AU65" i="8"/>
  <c r="AM65" i="8"/>
  <c r="AT65" i="8"/>
  <c r="AL65" i="8"/>
  <c r="AS65" i="8"/>
  <c r="AP65" i="8"/>
  <c r="AQ65" i="8"/>
  <c r="AR65" i="8"/>
  <c r="AV65" i="8"/>
  <c r="AW65" i="8"/>
  <c r="AX65" i="8"/>
  <c r="AY65" i="8"/>
  <c r="AZ65" i="8"/>
  <c r="BA65" i="8"/>
  <c r="BB65" i="8"/>
  <c r="BC65" i="8"/>
  <c r="BD65" i="8"/>
  <c r="BE65" i="8"/>
  <c r="BF65" i="8"/>
  <c r="AD63" i="3"/>
  <c r="AD62" i="3"/>
  <c r="W56" i="8"/>
  <c r="X56" i="8" s="1"/>
  <c r="Y56" i="8" s="1"/>
  <c r="Z56" i="8" s="1"/>
  <c r="AE56" i="8" s="1"/>
  <c r="V56" i="3" s="1"/>
  <c r="Y56" i="3" s="1"/>
  <c r="AR56" i="3" s="1"/>
  <c r="BF56" i="3" s="1"/>
  <c r="BG56" i="3" s="1"/>
  <c r="W56" i="11" s="1"/>
  <c r="T57" i="8"/>
  <c r="S57" i="8" s="1"/>
  <c r="AM57" i="3"/>
  <c r="AK60" i="3"/>
  <c r="AJ61" i="3"/>
  <c r="AY54" i="3"/>
  <c r="V54" i="11" s="1"/>
  <c r="BH54" i="3"/>
  <c r="BI54" i="3" s="1"/>
  <c r="AA54" i="11" s="1"/>
  <c r="AY53" i="3"/>
  <c r="V53" i="11" s="1"/>
  <c r="BH53" i="3"/>
  <c r="BI53" i="3" s="1"/>
  <c r="AA53" i="11" s="1"/>
  <c r="H53" i="11" s="1"/>
  <c r="BT55" i="9"/>
  <c r="BU55" i="9" s="1"/>
  <c r="R55" i="11" s="1"/>
  <c r="BK55" i="9"/>
  <c r="BL55" i="9" s="1"/>
  <c r="BH52" i="3"/>
  <c r="BI52" i="3" s="1"/>
  <c r="AA52" i="11" s="1"/>
  <c r="H52" i="11" s="1"/>
  <c r="BT56" i="9"/>
  <c r="BU56" i="9" s="1"/>
  <c r="R56" i="11" s="1"/>
  <c r="BK56" i="9"/>
  <c r="BL56" i="9" s="1"/>
  <c r="AJ58" i="9"/>
  <c r="AK58" i="9"/>
  <c r="AL57" i="9"/>
  <c r="W57" i="9"/>
  <c r="BB57" i="9" s="1"/>
  <c r="AG64" i="23"/>
  <c r="X57" i="9"/>
  <c r="L57" i="8" s="1"/>
  <c r="H57" i="8"/>
  <c r="I57" i="8" s="1"/>
  <c r="H58" i="8"/>
  <c r="I58" i="8" s="1"/>
  <c r="AJ59" i="23"/>
  <c r="AK59" i="23" s="1"/>
  <c r="W58" i="9"/>
  <c r="BB58" i="9" s="1"/>
  <c r="U57" i="9"/>
  <c r="AZ57" i="9" s="1"/>
  <c r="BM57" i="9" s="1"/>
  <c r="N62" i="3"/>
  <c r="J59" i="9"/>
  <c r="X59" i="9" s="1"/>
  <c r="L59" i="8" s="1"/>
  <c r="Q59" i="9"/>
  <c r="E63" i="9"/>
  <c r="F63" i="12"/>
  <c r="E63" i="3"/>
  <c r="R62" i="9"/>
  <c r="G63" i="12"/>
  <c r="R61" i="9"/>
  <c r="A70" i="6"/>
  <c r="AB71" i="22"/>
  <c r="T72" i="22"/>
  <c r="AC74" i="23"/>
  <c r="U75" i="23"/>
  <c r="U73" i="22"/>
  <c r="P72" i="6" s="1"/>
  <c r="AC72" i="22"/>
  <c r="AC61" i="3"/>
  <c r="AI61" i="3" s="1"/>
  <c r="V57" i="9"/>
  <c r="BA57" i="9" s="1"/>
  <c r="R57" i="3"/>
  <c r="AS57" i="3" s="1"/>
  <c r="K57" i="3"/>
  <c r="AC62" i="3"/>
  <c r="K62" i="12"/>
  <c r="B62" i="3"/>
  <c r="AZ56" i="3"/>
  <c r="BA56" i="3" s="1"/>
  <c r="Z56" i="11" s="1"/>
  <c r="O57" i="9"/>
  <c r="D57" i="11" s="1"/>
  <c r="S57" i="9"/>
  <c r="K57" i="8" s="1"/>
  <c r="N57" i="8" s="1"/>
  <c r="O57" i="8" s="1"/>
  <c r="P57" i="8" s="1"/>
  <c r="T57" i="9"/>
  <c r="L57" i="3"/>
  <c r="N57" i="9" s="1"/>
  <c r="P57" i="9" s="1"/>
  <c r="O59" i="3"/>
  <c r="J59" i="12"/>
  <c r="H58" i="3"/>
  <c r="K58" i="3" s="1"/>
  <c r="O58" i="3"/>
  <c r="AN53" i="3"/>
  <c r="U65" i="6"/>
  <c r="AC65" i="6"/>
  <c r="X65" i="6"/>
  <c r="W65" i="6"/>
  <c r="V65" i="6"/>
  <c r="AB65" i="6"/>
  <c r="Y65" i="6"/>
  <c r="AA65" i="6"/>
  <c r="Z65" i="6"/>
  <c r="T65" i="6"/>
  <c r="S64" i="6"/>
  <c r="Q63" i="6"/>
  <c r="AD64" i="17" s="1"/>
  <c r="R63" i="6"/>
  <c r="AA64" i="17" s="1"/>
  <c r="Q58" i="3"/>
  <c r="AA61" i="7"/>
  <c r="B60" i="9" s="1"/>
  <c r="M59" i="12"/>
  <c r="AG59" i="9"/>
  <c r="O59" i="12"/>
  <c r="B59" i="12" s="1"/>
  <c r="AH59" i="9"/>
  <c r="AM59" i="9" s="1"/>
  <c r="AD61" i="7"/>
  <c r="AC61" i="7"/>
  <c r="T58" i="8"/>
  <c r="P55" i="8"/>
  <c r="V55" i="8"/>
  <c r="X55" i="8" s="1"/>
  <c r="Y55" i="8" s="1"/>
  <c r="BV55" i="9"/>
  <c r="H59" i="3"/>
  <c r="M59" i="3" s="1"/>
  <c r="M59" i="9" s="1"/>
  <c r="P59" i="3"/>
  <c r="AM59" i="3" s="1"/>
  <c r="Q59" i="3"/>
  <c r="N63" i="6"/>
  <c r="G63" i="6"/>
  <c r="E63" i="6"/>
  <c r="J63" i="6"/>
  <c r="L63" i="6"/>
  <c r="F63" i="6"/>
  <c r="H63" i="6"/>
  <c r="K63" i="6"/>
  <c r="I63" i="6"/>
  <c r="M63" i="6"/>
  <c r="D62" i="6"/>
  <c r="B61" i="6"/>
  <c r="C61" i="6"/>
  <c r="AI54" i="8"/>
  <c r="Q54" i="12" s="1"/>
  <c r="A67" i="5"/>
  <c r="R67" i="5" s="1"/>
  <c r="AG56" i="8"/>
  <c r="Y56" i="9" s="1"/>
  <c r="AB56" i="9" s="1"/>
  <c r="AQ56" i="9" s="1"/>
  <c r="AS56" i="9" s="1"/>
  <c r="O66" i="5"/>
  <c r="AV53" i="9"/>
  <c r="P66" i="5"/>
  <c r="K66" i="5"/>
  <c r="M66" i="5"/>
  <c r="T66" i="5"/>
  <c r="M64" i="8"/>
  <c r="AU64" i="3"/>
  <c r="N66" i="5"/>
  <c r="R66" i="5"/>
  <c r="S66" i="5"/>
  <c r="Q66" i="5"/>
  <c r="J65" i="5"/>
  <c r="H65" i="5" s="1"/>
  <c r="G64" i="5"/>
  <c r="E64" i="5"/>
  <c r="AE65" i="23" s="1"/>
  <c r="H64" i="5"/>
  <c r="F64" i="5"/>
  <c r="AF65" i="23" s="1"/>
  <c r="AO64" i="9" s="1"/>
  <c r="I64" i="5"/>
  <c r="AI65" i="23" s="1"/>
  <c r="D64" i="5"/>
  <c r="B64" i="5" s="1"/>
  <c r="AD65" i="23" s="1"/>
  <c r="K61" i="9"/>
  <c r="B63" i="5"/>
  <c r="AD64" i="23" s="1"/>
  <c r="BI54" i="9"/>
  <c r="BJ54" i="9" s="1"/>
  <c r="A67" i="12"/>
  <c r="I61" i="12"/>
  <c r="H62" i="12"/>
  <c r="L60" i="9"/>
  <c r="F62" i="3"/>
  <c r="F62" i="9"/>
  <c r="K62" i="9" s="1"/>
  <c r="I61" i="3"/>
  <c r="A67" i="11"/>
  <c r="Z63" i="3"/>
  <c r="A66" i="8"/>
  <c r="C64" i="8" l="1"/>
  <c r="D64" i="8" s="1"/>
  <c r="B64" i="8"/>
  <c r="AJ64" i="8" s="1"/>
  <c r="G64" i="8"/>
  <c r="AU66" i="8"/>
  <c r="AM66" i="8"/>
  <c r="AT66" i="8"/>
  <c r="AL66" i="8"/>
  <c r="AS66" i="8"/>
  <c r="AR66" i="8"/>
  <c r="AQ66" i="8"/>
  <c r="AP66" i="8"/>
  <c r="AN66" i="8"/>
  <c r="AO66" i="8"/>
  <c r="AV66" i="8"/>
  <c r="AW66" i="8"/>
  <c r="AX66" i="8"/>
  <c r="AY66" i="8"/>
  <c r="AZ66" i="8"/>
  <c r="BA66" i="8"/>
  <c r="BB66" i="8"/>
  <c r="BC66" i="8"/>
  <c r="BD66" i="8"/>
  <c r="BE66" i="8"/>
  <c r="BF66" i="8"/>
  <c r="AK66" i="8" s="1"/>
  <c r="AK65" i="8"/>
  <c r="AH66" i="23"/>
  <c r="U65" i="12" s="1"/>
  <c r="AH65" i="23"/>
  <c r="U64" i="12" s="1"/>
  <c r="W57" i="8"/>
  <c r="AK61" i="3"/>
  <c r="H54" i="11"/>
  <c r="AI62" i="3"/>
  <c r="AJ62" i="3"/>
  <c r="AL58" i="9"/>
  <c r="AK59" i="9"/>
  <c r="AJ59" i="9"/>
  <c r="BC57" i="9"/>
  <c r="BQ57" i="9" s="1"/>
  <c r="BR57" i="9" s="1"/>
  <c r="AG65" i="23"/>
  <c r="BX57" i="9"/>
  <c r="BY57" i="9" s="1"/>
  <c r="S57" i="11" s="1"/>
  <c r="P57" i="11" s="1"/>
  <c r="T59" i="9"/>
  <c r="AJ60" i="23"/>
  <c r="AK60" i="23" s="1"/>
  <c r="H59" i="8"/>
  <c r="I59" i="8" s="1"/>
  <c r="W59" i="9"/>
  <c r="BB59" i="9" s="1"/>
  <c r="J60" i="9"/>
  <c r="Q60" i="9"/>
  <c r="G64" i="12"/>
  <c r="E64" i="12"/>
  <c r="G64" i="9"/>
  <c r="G64" i="3"/>
  <c r="AD64" i="3"/>
  <c r="G63" i="3"/>
  <c r="N63" i="3" s="1"/>
  <c r="E63" i="12"/>
  <c r="G63" i="9"/>
  <c r="F64" i="12"/>
  <c r="E64" i="9"/>
  <c r="E64" i="3"/>
  <c r="AD65" i="3"/>
  <c r="AC75" i="23"/>
  <c r="U76" i="23"/>
  <c r="A71" i="6"/>
  <c r="AB72" i="22"/>
  <c r="T73" i="22"/>
  <c r="U74" i="22"/>
  <c r="P73" i="6" s="1"/>
  <c r="AC73" i="22"/>
  <c r="AH55" i="8"/>
  <c r="AA55" i="9" s="1"/>
  <c r="AD55" i="9" s="1"/>
  <c r="AX55" i="9" s="1"/>
  <c r="AG55" i="8"/>
  <c r="Y55" i="9" s="1"/>
  <c r="AB55" i="9" s="1"/>
  <c r="AQ55" i="9" s="1"/>
  <c r="AS55" i="9" s="1"/>
  <c r="AZ57" i="3"/>
  <c r="BA57" i="3" s="1"/>
  <c r="Z57" i="11" s="1"/>
  <c r="AC63" i="3"/>
  <c r="B63" i="3"/>
  <c r="K63" i="12"/>
  <c r="V57" i="8"/>
  <c r="BN57" i="9"/>
  <c r="AU57" i="9"/>
  <c r="BV57" i="9" s="1"/>
  <c r="BW57" i="9" s="1"/>
  <c r="O57" i="11" s="1"/>
  <c r="AR57" i="9"/>
  <c r="J57" i="8"/>
  <c r="M58" i="3"/>
  <c r="M58" i="9" s="1"/>
  <c r="O58" i="9" s="1"/>
  <c r="D58" i="11" s="1"/>
  <c r="R58" i="3"/>
  <c r="AS58" i="3" s="1"/>
  <c r="L58" i="3"/>
  <c r="N58" i="9" s="1"/>
  <c r="P58" i="9" s="1"/>
  <c r="J60" i="12"/>
  <c r="Q60" i="3"/>
  <c r="S58" i="8"/>
  <c r="Q64" i="6"/>
  <c r="AD65" i="17" s="1"/>
  <c r="R64" i="6"/>
  <c r="AA65" i="17" s="1"/>
  <c r="S65" i="6"/>
  <c r="W66" i="6"/>
  <c r="X66" i="6"/>
  <c r="V66" i="6"/>
  <c r="Z66" i="6"/>
  <c r="Y66" i="6"/>
  <c r="AB66" i="6"/>
  <c r="U66" i="6"/>
  <c r="T66" i="6"/>
  <c r="AC66" i="6"/>
  <c r="AA66" i="6"/>
  <c r="AA62" i="7"/>
  <c r="B61" i="9" s="1"/>
  <c r="AD56" i="8"/>
  <c r="T56" i="3" s="1"/>
  <c r="W56" i="3" s="1"/>
  <c r="AL56" i="3" s="1"/>
  <c r="AX56" i="3" s="1"/>
  <c r="AD62" i="7"/>
  <c r="AC62" i="7"/>
  <c r="M60" i="12"/>
  <c r="AG60" i="9"/>
  <c r="AH60" i="9"/>
  <c r="AM60" i="9" s="1"/>
  <c r="O60" i="12"/>
  <c r="B60" i="12" s="1"/>
  <c r="AA56" i="8"/>
  <c r="AC56" i="8" s="1"/>
  <c r="U56" i="3" s="1"/>
  <c r="X56" i="3" s="1"/>
  <c r="AO56" i="3" s="1"/>
  <c r="T59" i="8"/>
  <c r="S59" i="8" s="1"/>
  <c r="C62" i="6"/>
  <c r="B62" i="6"/>
  <c r="D63" i="6"/>
  <c r="L59" i="3"/>
  <c r="N59" i="9" s="1"/>
  <c r="R59" i="3"/>
  <c r="AS59" i="3" s="1"/>
  <c r="H64" i="6"/>
  <c r="G64" i="6"/>
  <c r="F64" i="6"/>
  <c r="E64" i="6"/>
  <c r="I64" i="6"/>
  <c r="M64" i="6"/>
  <c r="K64" i="6"/>
  <c r="J64" i="6"/>
  <c r="L64" i="6"/>
  <c r="N64" i="6"/>
  <c r="BW55" i="9"/>
  <c r="K59" i="3"/>
  <c r="AD55" i="8"/>
  <c r="T55" i="3" s="1"/>
  <c r="W55" i="3" s="1"/>
  <c r="AL55" i="3" s="1"/>
  <c r="Z55" i="8"/>
  <c r="AE55" i="8" s="1"/>
  <c r="V55" i="3" s="1"/>
  <c r="Y55" i="3" s="1"/>
  <c r="AR55" i="3" s="1"/>
  <c r="BF55" i="3" s="1"/>
  <c r="BG55" i="3" s="1"/>
  <c r="W55" i="11" s="1"/>
  <c r="AA55" i="8"/>
  <c r="AC55" i="8" s="1"/>
  <c r="U55" i="3" s="1"/>
  <c r="X55" i="3" s="1"/>
  <c r="AO55" i="3" s="1"/>
  <c r="BX58" i="9"/>
  <c r="AZ58" i="3"/>
  <c r="BA58" i="3" s="1"/>
  <c r="Z58" i="11" s="1"/>
  <c r="R55" i="8"/>
  <c r="AF55" i="8" s="1"/>
  <c r="Q55" i="8"/>
  <c r="P67" i="5"/>
  <c r="R56" i="8"/>
  <c r="AF56" i="8" s="1"/>
  <c r="Z56" i="9" s="1"/>
  <c r="AC56" i="9" s="1"/>
  <c r="AT56" i="9" s="1"/>
  <c r="AV56" i="9" s="1"/>
  <c r="AH56" i="8"/>
  <c r="AA56" i="9" s="1"/>
  <c r="AD56" i="9" s="1"/>
  <c r="AX56" i="9" s="1"/>
  <c r="O67" i="5"/>
  <c r="T67" i="5"/>
  <c r="A68" i="5"/>
  <c r="N68" i="5" s="1"/>
  <c r="L67" i="5"/>
  <c r="Q67" i="5"/>
  <c r="N67" i="5"/>
  <c r="M67" i="5"/>
  <c r="S67" i="5"/>
  <c r="K67" i="5"/>
  <c r="E65" i="5"/>
  <c r="AE66" i="23" s="1"/>
  <c r="Q56" i="8"/>
  <c r="C65" i="5"/>
  <c r="J66" i="5"/>
  <c r="H66" i="5" s="1"/>
  <c r="M65" i="8"/>
  <c r="AU65" i="3"/>
  <c r="G65" i="5"/>
  <c r="D65" i="5"/>
  <c r="I65" i="5"/>
  <c r="AI66" i="23" s="1"/>
  <c r="F65" i="5"/>
  <c r="AF66" i="23" s="1"/>
  <c r="AO65" i="9" s="1"/>
  <c r="L61" i="9"/>
  <c r="AG57" i="8"/>
  <c r="Y57" i="9" s="1"/>
  <c r="AB57" i="9" s="1"/>
  <c r="AQ57" i="9" s="1"/>
  <c r="U59" i="9"/>
  <c r="AZ59" i="9" s="1"/>
  <c r="BM59" i="9" s="1"/>
  <c r="S59" i="9"/>
  <c r="V59" i="9"/>
  <c r="BA59" i="9" s="1"/>
  <c r="O59" i="9"/>
  <c r="D59" i="11" s="1"/>
  <c r="J61" i="3"/>
  <c r="L62" i="9"/>
  <c r="A68" i="12"/>
  <c r="I62" i="12"/>
  <c r="H63" i="12"/>
  <c r="F63" i="9"/>
  <c r="F63" i="3"/>
  <c r="I62" i="3"/>
  <c r="A68" i="11"/>
  <c r="Z64" i="3"/>
  <c r="A67" i="8"/>
  <c r="B66" i="8" l="1"/>
  <c r="AJ66" i="8" s="1"/>
  <c r="C66" i="8"/>
  <c r="D66" i="8" s="1"/>
  <c r="G66" i="8"/>
  <c r="AS67" i="8"/>
  <c r="AR67" i="8"/>
  <c r="AQ67" i="8"/>
  <c r="AP67" i="8"/>
  <c r="AO67" i="8"/>
  <c r="AN67" i="8"/>
  <c r="AT67" i="8"/>
  <c r="AL67" i="8"/>
  <c r="AU67" i="8"/>
  <c r="AM67" i="8"/>
  <c r="AV67" i="8"/>
  <c r="AW67" i="8"/>
  <c r="AX67" i="8"/>
  <c r="AY67" i="8"/>
  <c r="AZ67" i="8"/>
  <c r="BA67" i="8"/>
  <c r="BB67" i="8"/>
  <c r="BC67" i="8"/>
  <c r="BD67" i="8"/>
  <c r="BE67" i="8"/>
  <c r="BF67" i="8"/>
  <c r="AK67" i="8" s="1"/>
  <c r="B65" i="8"/>
  <c r="AJ65" i="8" s="1"/>
  <c r="G65" i="8"/>
  <c r="C65" i="8"/>
  <c r="D65" i="8" s="1"/>
  <c r="AH67" i="23"/>
  <c r="U66" i="12" s="1"/>
  <c r="X57" i="8"/>
  <c r="Y57" i="8" s="1"/>
  <c r="Z57" i="8" s="1"/>
  <c r="AE57" i="8" s="1"/>
  <c r="V57" i="3" s="1"/>
  <c r="Y57" i="3" s="1"/>
  <c r="AR57" i="3" s="1"/>
  <c r="BF57" i="3" s="1"/>
  <c r="BG57" i="3" s="1"/>
  <c r="W57" i="11" s="1"/>
  <c r="AK62" i="3"/>
  <c r="AI63" i="3"/>
  <c r="AJ63" i="3"/>
  <c r="BK57" i="9"/>
  <c r="BL57" i="9" s="1"/>
  <c r="AY56" i="3"/>
  <c r="V56" i="11" s="1"/>
  <c r="AL59" i="9"/>
  <c r="AU59" i="9" s="1"/>
  <c r="BV59" i="9" s="1"/>
  <c r="BW59" i="9" s="1"/>
  <c r="O59" i="11" s="1"/>
  <c r="AJ60" i="9"/>
  <c r="AK60" i="9"/>
  <c r="X60" i="9"/>
  <c r="L60" i="8" s="1"/>
  <c r="AG66" i="23"/>
  <c r="W60" i="9"/>
  <c r="BB60" i="9" s="1"/>
  <c r="BC59" i="9"/>
  <c r="BQ59" i="9" s="1"/>
  <c r="BR59" i="9" s="1"/>
  <c r="H60" i="8"/>
  <c r="I60" i="8" s="1"/>
  <c r="J61" i="9"/>
  <c r="Q61" i="9"/>
  <c r="AJ61" i="23"/>
  <c r="AK61" i="23" s="1"/>
  <c r="G65" i="12"/>
  <c r="R64" i="9"/>
  <c r="F65" i="12"/>
  <c r="E65" i="9"/>
  <c r="E65" i="3"/>
  <c r="R63" i="9"/>
  <c r="A72" i="6"/>
  <c r="AB73" i="22"/>
  <c r="T74" i="22"/>
  <c r="AC76" i="23"/>
  <c r="U77" i="23"/>
  <c r="U75" i="22"/>
  <c r="P74" i="6" s="1"/>
  <c r="AC74" i="22"/>
  <c r="O55" i="11"/>
  <c r="P63" i="12"/>
  <c r="B64" i="3"/>
  <c r="K64" i="12"/>
  <c r="AC64" i="3"/>
  <c r="BT57" i="9"/>
  <c r="AS57" i="9"/>
  <c r="V58" i="9"/>
  <c r="BA58" i="9" s="1"/>
  <c r="BC58" i="9" s="1"/>
  <c r="BQ58" i="9" s="1"/>
  <c r="BR58" i="9" s="1"/>
  <c r="S58" i="9"/>
  <c r="K58" i="8" s="1"/>
  <c r="N58" i="8" s="1"/>
  <c r="O58" i="8" s="1"/>
  <c r="P58" i="8" s="1"/>
  <c r="BY58" i="9"/>
  <c r="S58" i="11" s="1"/>
  <c r="P58" i="11" s="1"/>
  <c r="U58" i="9"/>
  <c r="AZ58" i="9" s="1"/>
  <c r="BM58" i="9" s="1"/>
  <c r="BN58" i="9" s="1"/>
  <c r="T58" i="9"/>
  <c r="W58" i="8" s="1"/>
  <c r="H60" i="3"/>
  <c r="K60" i="3" s="1"/>
  <c r="O60" i="3"/>
  <c r="P60" i="3"/>
  <c r="Q61" i="3"/>
  <c r="AN56" i="3"/>
  <c r="J61" i="12"/>
  <c r="S66" i="6"/>
  <c r="Z67" i="6"/>
  <c r="T67" i="6"/>
  <c r="Y67" i="6"/>
  <c r="X67" i="6"/>
  <c r="U67" i="6"/>
  <c r="AB67" i="6"/>
  <c r="AA67" i="6"/>
  <c r="V67" i="6"/>
  <c r="AC67" i="6"/>
  <c r="W67" i="6"/>
  <c r="R65" i="6"/>
  <c r="AA66" i="17" s="1"/>
  <c r="Q65" i="6"/>
  <c r="AD66" i="17" s="1"/>
  <c r="AA63" i="7"/>
  <c r="BB56" i="3"/>
  <c r="BC56" i="3" s="1"/>
  <c r="X56" i="11" s="1"/>
  <c r="AC63" i="7"/>
  <c r="AD63" i="7"/>
  <c r="AG61" i="9"/>
  <c r="M61" i="12"/>
  <c r="AH61" i="9"/>
  <c r="AM61" i="9" s="1"/>
  <c r="O61" i="12"/>
  <c r="B61" i="12" s="1"/>
  <c r="W59" i="8"/>
  <c r="BB55" i="3"/>
  <c r="BC55" i="3" s="1"/>
  <c r="X55" i="11" s="1"/>
  <c r="B63" i="6"/>
  <c r="C63" i="6"/>
  <c r="AN55" i="3"/>
  <c r="AX55" i="3"/>
  <c r="AZ59" i="3"/>
  <c r="BA59" i="3" s="1"/>
  <c r="Z59" i="11" s="1"/>
  <c r="BX59" i="9"/>
  <c r="BY59" i="9" s="1"/>
  <c r="S59" i="11" s="1"/>
  <c r="P59" i="11" s="1"/>
  <c r="J65" i="6"/>
  <c r="H65" i="6"/>
  <c r="N65" i="6"/>
  <c r="F65" i="6"/>
  <c r="G65" i="6"/>
  <c r="M65" i="6"/>
  <c r="L65" i="6"/>
  <c r="I65" i="6"/>
  <c r="E65" i="6"/>
  <c r="K65" i="6"/>
  <c r="Z55" i="9"/>
  <c r="AC55" i="9" s="1"/>
  <c r="AT55" i="9" s="1"/>
  <c r="AI55" i="8"/>
  <c r="Q55" i="12" s="1"/>
  <c r="D64" i="6"/>
  <c r="P59" i="9"/>
  <c r="AR59" i="9"/>
  <c r="BI56" i="9"/>
  <c r="BJ56" i="9" s="1"/>
  <c r="AI56" i="8"/>
  <c r="Q56" i="12" s="1"/>
  <c r="L68" i="5"/>
  <c r="T68" i="5"/>
  <c r="Q68" i="5"/>
  <c r="R68" i="5"/>
  <c r="M68" i="5"/>
  <c r="K68" i="5"/>
  <c r="A69" i="5"/>
  <c r="L69" i="5" s="1"/>
  <c r="O68" i="5"/>
  <c r="S68" i="5"/>
  <c r="P68" i="5"/>
  <c r="J67" i="5"/>
  <c r="E67" i="5" s="1"/>
  <c r="AE68" i="23" s="1"/>
  <c r="G66" i="5"/>
  <c r="E66" i="5"/>
  <c r="AE67" i="23" s="1"/>
  <c r="F66" i="5"/>
  <c r="AF67" i="23" s="1"/>
  <c r="AO66" i="9" s="1"/>
  <c r="D66" i="5"/>
  <c r="C66" i="5"/>
  <c r="I66" i="5"/>
  <c r="AI67" i="23" s="1"/>
  <c r="B65" i="5"/>
  <c r="AD66" i="23" s="1"/>
  <c r="N64" i="3"/>
  <c r="M66" i="8"/>
  <c r="AU66" i="3"/>
  <c r="I63" i="3"/>
  <c r="J63" i="3" s="1"/>
  <c r="R57" i="8"/>
  <c r="AF57" i="8" s="1"/>
  <c r="Z57" i="9" s="1"/>
  <c r="AC57" i="9" s="1"/>
  <c r="AT57" i="9" s="1"/>
  <c r="Q57" i="8"/>
  <c r="AH57" i="8"/>
  <c r="AA57" i="9" s="1"/>
  <c r="AD57" i="9" s="1"/>
  <c r="AX57" i="9" s="1"/>
  <c r="K59" i="8"/>
  <c r="N59" i="8" s="1"/>
  <c r="O59" i="8" s="1"/>
  <c r="P59" i="8" s="1"/>
  <c r="BN59" i="9"/>
  <c r="J62" i="3"/>
  <c r="A69" i="12"/>
  <c r="I63" i="12"/>
  <c r="H64" i="12"/>
  <c r="F64" i="9"/>
  <c r="K64" i="9" s="1"/>
  <c r="F64" i="3"/>
  <c r="K63" i="9"/>
  <c r="A69" i="11"/>
  <c r="Z65" i="3"/>
  <c r="A68" i="8"/>
  <c r="AQ68" i="8" l="1"/>
  <c r="AP68" i="8"/>
  <c r="AO68" i="8"/>
  <c r="AN68" i="8"/>
  <c r="AU68" i="8"/>
  <c r="AM68" i="8"/>
  <c r="AT68" i="8"/>
  <c r="AL68" i="8"/>
  <c r="AR68" i="8"/>
  <c r="AS68" i="8"/>
  <c r="AV68" i="8"/>
  <c r="AW68" i="8"/>
  <c r="AX68" i="8"/>
  <c r="AY68" i="8"/>
  <c r="AZ68" i="8"/>
  <c r="BA68" i="8"/>
  <c r="BB68" i="8"/>
  <c r="BC68" i="8"/>
  <c r="BD68" i="8"/>
  <c r="BE68" i="8"/>
  <c r="BF68" i="8"/>
  <c r="G67" i="8"/>
  <c r="C67" i="8"/>
  <c r="D67" i="8" s="1"/>
  <c r="B67" i="8"/>
  <c r="AJ67" i="8" s="1"/>
  <c r="AD57" i="8"/>
  <c r="T57" i="3" s="1"/>
  <c r="W57" i="3" s="1"/>
  <c r="AL57" i="3" s="1"/>
  <c r="AX57" i="3" s="1"/>
  <c r="AD66" i="3"/>
  <c r="BK59" i="9"/>
  <c r="BL59" i="9" s="1"/>
  <c r="AA57" i="8"/>
  <c r="AC57" i="8" s="1"/>
  <c r="U57" i="3" s="1"/>
  <c r="X57" i="3" s="1"/>
  <c r="AO57" i="3" s="1"/>
  <c r="BB57" i="3" s="1"/>
  <c r="BC57" i="3" s="1"/>
  <c r="X57" i="11" s="1"/>
  <c r="T60" i="8"/>
  <c r="S60" i="8" s="1"/>
  <c r="AM60" i="3"/>
  <c r="BX60" i="9" s="1"/>
  <c r="AK63" i="3"/>
  <c r="AI64" i="3"/>
  <c r="AJ64" i="3"/>
  <c r="AY55" i="3"/>
  <c r="V55" i="11" s="1"/>
  <c r="BH55" i="3"/>
  <c r="BI55" i="3" s="1"/>
  <c r="AA55" i="11" s="1"/>
  <c r="BH56" i="3"/>
  <c r="BI56" i="3" s="1"/>
  <c r="AA56" i="11" s="1"/>
  <c r="H56" i="11" s="1"/>
  <c r="BU57" i="9"/>
  <c r="R57" i="11" s="1"/>
  <c r="AK61" i="9"/>
  <c r="AJ61" i="9"/>
  <c r="AL60" i="9"/>
  <c r="AG67" i="23"/>
  <c r="AJ62" i="23"/>
  <c r="AK62" i="23" s="1"/>
  <c r="W61" i="9"/>
  <c r="BB61" i="9" s="1"/>
  <c r="X61" i="9"/>
  <c r="L61" i="8" s="1"/>
  <c r="H61" i="8"/>
  <c r="I61" i="8" s="1"/>
  <c r="G66" i="12"/>
  <c r="G65" i="3"/>
  <c r="N65" i="3" s="1"/>
  <c r="G65" i="9"/>
  <c r="E65" i="12"/>
  <c r="F67" i="12"/>
  <c r="E67" i="9"/>
  <c r="E67" i="3"/>
  <c r="F66" i="12"/>
  <c r="E66" i="9"/>
  <c r="E66" i="3"/>
  <c r="AC77" i="23"/>
  <c r="U78" i="23"/>
  <c r="A73" i="6"/>
  <c r="AB74" i="22"/>
  <c r="T75" i="22"/>
  <c r="U76" i="22"/>
  <c r="P75" i="6" s="1"/>
  <c r="AC75" i="22"/>
  <c r="P64" i="12"/>
  <c r="B65" i="3"/>
  <c r="K65" i="12"/>
  <c r="AC65" i="3"/>
  <c r="R60" i="3"/>
  <c r="AS60" i="3" s="1"/>
  <c r="L60" i="3"/>
  <c r="N60" i="9" s="1"/>
  <c r="P60" i="9" s="1"/>
  <c r="AR58" i="9"/>
  <c r="V58" i="8"/>
  <c r="X58" i="8" s="1"/>
  <c r="Y58" i="8" s="1"/>
  <c r="J58" i="8"/>
  <c r="Q58" i="8" s="1"/>
  <c r="AU58" i="9"/>
  <c r="BV58" i="9" s="1"/>
  <c r="BW58" i="9" s="1"/>
  <c r="O58" i="11" s="1"/>
  <c r="M60" i="3"/>
  <c r="M60" i="9" s="1"/>
  <c r="O60" i="9" s="1"/>
  <c r="D60" i="11" s="1"/>
  <c r="H61" i="3"/>
  <c r="K61" i="3" s="1"/>
  <c r="P61" i="3"/>
  <c r="O61" i="3"/>
  <c r="J62" i="12"/>
  <c r="R66" i="6"/>
  <c r="AA67" i="17" s="1"/>
  <c r="Q66" i="6"/>
  <c r="AD67" i="17" s="1"/>
  <c r="Y68" i="6"/>
  <c r="Z68" i="6"/>
  <c r="AB68" i="6"/>
  <c r="AC68" i="6"/>
  <c r="V68" i="6"/>
  <c r="T68" i="6"/>
  <c r="AA68" i="6"/>
  <c r="U68" i="6"/>
  <c r="W68" i="6"/>
  <c r="X68" i="6"/>
  <c r="S67" i="6"/>
  <c r="B62" i="9"/>
  <c r="AA64" i="7"/>
  <c r="B63" i="9" s="1"/>
  <c r="Q63" i="9" s="1"/>
  <c r="AD64" i="7"/>
  <c r="AC64" i="7"/>
  <c r="AH62" i="9"/>
  <c r="AM62" i="9" s="1"/>
  <c r="O62" i="12"/>
  <c r="B62" i="12" s="1"/>
  <c r="AG62" i="9"/>
  <c r="M62" i="12"/>
  <c r="BT59" i="9"/>
  <c r="AV55" i="9"/>
  <c r="BI55" i="9"/>
  <c r="BJ55" i="9" s="1"/>
  <c r="N66" i="6"/>
  <c r="M66" i="6"/>
  <c r="J66" i="6"/>
  <c r="H66" i="6"/>
  <c r="K66" i="6"/>
  <c r="F66" i="6"/>
  <c r="G66" i="6"/>
  <c r="L66" i="6"/>
  <c r="I66" i="6"/>
  <c r="E66" i="6"/>
  <c r="O62" i="3"/>
  <c r="H62" i="3"/>
  <c r="Q62" i="3"/>
  <c r="P62" i="3"/>
  <c r="AM62" i="3" s="1"/>
  <c r="C64" i="6"/>
  <c r="B64" i="6"/>
  <c r="D65" i="6"/>
  <c r="O69" i="5"/>
  <c r="P69" i="5"/>
  <c r="S69" i="5"/>
  <c r="M69" i="5"/>
  <c r="T69" i="5"/>
  <c r="N69" i="5"/>
  <c r="K69" i="5"/>
  <c r="R69" i="5"/>
  <c r="A70" i="5"/>
  <c r="K70" i="5" s="1"/>
  <c r="Q69" i="5"/>
  <c r="J68" i="5"/>
  <c r="I68" i="5" s="1"/>
  <c r="AI69" i="23" s="1"/>
  <c r="F67" i="5"/>
  <c r="AF68" i="23" s="1"/>
  <c r="AO67" i="9" s="1"/>
  <c r="C67" i="5"/>
  <c r="I67" i="5"/>
  <c r="AI68" i="23" s="1"/>
  <c r="G67" i="5"/>
  <c r="H67" i="5"/>
  <c r="D67" i="5"/>
  <c r="B66" i="5"/>
  <c r="AD67" i="23" s="1"/>
  <c r="M67" i="8"/>
  <c r="AU67" i="3"/>
  <c r="V59" i="8"/>
  <c r="X59" i="8" s="1"/>
  <c r="Y59" i="8" s="1"/>
  <c r="AG58" i="8"/>
  <c r="Y58" i="9" s="1"/>
  <c r="AB58" i="9" s="1"/>
  <c r="AQ58" i="9" s="1"/>
  <c r="AH58" i="8"/>
  <c r="AA58" i="9" s="1"/>
  <c r="AD58" i="9" s="1"/>
  <c r="AX58" i="9" s="1"/>
  <c r="AI57" i="8"/>
  <c r="Q57" i="12" s="1"/>
  <c r="BI57" i="9"/>
  <c r="BJ57" i="9" s="1"/>
  <c r="J59" i="8"/>
  <c r="AV57" i="9"/>
  <c r="L64" i="9"/>
  <c r="I64" i="12"/>
  <c r="A70" i="12"/>
  <c r="H65" i="12"/>
  <c r="L63" i="9"/>
  <c r="F65" i="9"/>
  <c r="F65" i="3"/>
  <c r="I64" i="3"/>
  <c r="A70" i="11"/>
  <c r="Z66" i="3"/>
  <c r="A69" i="8"/>
  <c r="AO69" i="8" l="1"/>
  <c r="AN69" i="8"/>
  <c r="AU69" i="8"/>
  <c r="AM69" i="8"/>
  <c r="AT69" i="8"/>
  <c r="AL69" i="8"/>
  <c r="AS69" i="8"/>
  <c r="AR69" i="8"/>
  <c r="AP69" i="8"/>
  <c r="AQ69" i="8"/>
  <c r="AV69" i="8"/>
  <c r="AW69" i="8"/>
  <c r="AX69" i="8"/>
  <c r="AY69" i="8"/>
  <c r="AZ69" i="8"/>
  <c r="BA69" i="8"/>
  <c r="BB69" i="8"/>
  <c r="BC69" i="8"/>
  <c r="BD69" i="8"/>
  <c r="BE69" i="8"/>
  <c r="BF69" i="8"/>
  <c r="AK68" i="8"/>
  <c r="AN57" i="3"/>
  <c r="AH68" i="23"/>
  <c r="U67" i="12" s="1"/>
  <c r="H55" i="11"/>
  <c r="T61" i="8"/>
  <c r="S61" i="8" s="1"/>
  <c r="AM61" i="3"/>
  <c r="BX61" i="9" s="1"/>
  <c r="AK64" i="3"/>
  <c r="AI65" i="3"/>
  <c r="AJ65" i="3"/>
  <c r="BT58" i="9"/>
  <c r="BU58" i="9" s="1"/>
  <c r="R58" i="11" s="1"/>
  <c r="BK58" i="9"/>
  <c r="BL58" i="9" s="1"/>
  <c r="AY57" i="3"/>
  <c r="V57" i="11" s="1"/>
  <c r="BH57" i="3"/>
  <c r="BI57" i="3" s="1"/>
  <c r="AA57" i="11" s="1"/>
  <c r="H57" i="11" s="1"/>
  <c r="AL61" i="9"/>
  <c r="AK62" i="9"/>
  <c r="AJ62" i="9"/>
  <c r="AG68" i="23"/>
  <c r="K65" i="9"/>
  <c r="J62" i="9"/>
  <c r="Q62" i="9"/>
  <c r="R65" i="9"/>
  <c r="G66" i="9"/>
  <c r="E66" i="12"/>
  <c r="G66" i="3"/>
  <c r="N66" i="3" s="1"/>
  <c r="G67" i="12"/>
  <c r="AC78" i="23"/>
  <c r="U79" i="23"/>
  <c r="A74" i="6"/>
  <c r="AB75" i="22"/>
  <c r="T76" i="22"/>
  <c r="U77" i="22"/>
  <c r="P76" i="6" s="1"/>
  <c r="AC76" i="22"/>
  <c r="AS58" i="9"/>
  <c r="P65" i="12"/>
  <c r="AC66" i="3"/>
  <c r="K66" i="12"/>
  <c r="B66" i="3"/>
  <c r="AZ60" i="3"/>
  <c r="BA60" i="3" s="1"/>
  <c r="Z60" i="11" s="1"/>
  <c r="AA58" i="8"/>
  <c r="AC58" i="8" s="1"/>
  <c r="U58" i="3" s="1"/>
  <c r="X58" i="3" s="1"/>
  <c r="AO58" i="3" s="1"/>
  <c r="Z58" i="8"/>
  <c r="AE58" i="8" s="1"/>
  <c r="V58" i="3" s="1"/>
  <c r="Y58" i="3" s="1"/>
  <c r="AR58" i="3" s="1"/>
  <c r="BF58" i="3" s="1"/>
  <c r="BG58" i="3" s="1"/>
  <c r="W58" i="11" s="1"/>
  <c r="AD58" i="8"/>
  <c r="T58" i="3" s="1"/>
  <c r="W58" i="3" s="1"/>
  <c r="AL58" i="3" s="1"/>
  <c r="AX58" i="3" s="1"/>
  <c r="V60" i="9"/>
  <c r="BA60" i="9" s="1"/>
  <c r="BC60" i="9" s="1"/>
  <c r="BQ60" i="9" s="1"/>
  <c r="BR60" i="9" s="1"/>
  <c r="S60" i="9"/>
  <c r="K60" i="8" s="1"/>
  <c r="N60" i="8" s="1"/>
  <c r="O60" i="8" s="1"/>
  <c r="P60" i="8" s="1"/>
  <c r="AG60" i="8" s="1"/>
  <c r="Y60" i="9" s="1"/>
  <c r="AB60" i="9" s="1"/>
  <c r="U60" i="9"/>
  <c r="AZ60" i="9" s="1"/>
  <c r="BM60" i="9" s="1"/>
  <c r="BN60" i="9" s="1"/>
  <c r="R58" i="8"/>
  <c r="AF58" i="8" s="1"/>
  <c r="Z58" i="9" s="1"/>
  <c r="AC58" i="9" s="1"/>
  <c r="AT58" i="9" s="1"/>
  <c r="AV58" i="9" s="1"/>
  <c r="L61" i="3"/>
  <c r="N61" i="9" s="1"/>
  <c r="T60" i="9"/>
  <c r="W60" i="8" s="1"/>
  <c r="M61" i="3"/>
  <c r="M61" i="9" s="1"/>
  <c r="R61" i="3"/>
  <c r="AS61" i="3" s="1"/>
  <c r="O63" i="3"/>
  <c r="J63" i="12"/>
  <c r="J63" i="9"/>
  <c r="Q67" i="6"/>
  <c r="AD68" i="17" s="1"/>
  <c r="R67" i="6"/>
  <c r="AA68" i="17" s="1"/>
  <c r="AC69" i="6"/>
  <c r="V69" i="6"/>
  <c r="AB69" i="6"/>
  <c r="AA69" i="6"/>
  <c r="T69" i="6"/>
  <c r="Z69" i="6"/>
  <c r="Y69" i="6"/>
  <c r="W69" i="6"/>
  <c r="U69" i="6"/>
  <c r="X69" i="6"/>
  <c r="S68" i="6"/>
  <c r="AA65" i="7"/>
  <c r="J64" i="12" s="1"/>
  <c r="AD65" i="7"/>
  <c r="AC65" i="7"/>
  <c r="M63" i="12"/>
  <c r="AG63" i="9"/>
  <c r="AH63" i="9"/>
  <c r="AM63" i="9" s="1"/>
  <c r="O63" i="12"/>
  <c r="B63" i="12" s="1"/>
  <c r="C65" i="6"/>
  <c r="B65" i="6"/>
  <c r="L62" i="3"/>
  <c r="N62" i="9" s="1"/>
  <c r="R62" i="3"/>
  <c r="AS62" i="3" s="1"/>
  <c r="K62" i="3"/>
  <c r="BY60" i="9"/>
  <c r="S60" i="11" s="1"/>
  <c r="P60" i="11" s="1"/>
  <c r="J67" i="6"/>
  <c r="I67" i="6"/>
  <c r="F67" i="6"/>
  <c r="H67" i="6"/>
  <c r="E67" i="6"/>
  <c r="M67" i="6"/>
  <c r="N67" i="6"/>
  <c r="K67" i="6"/>
  <c r="G67" i="6"/>
  <c r="L67" i="6"/>
  <c r="M62" i="3"/>
  <c r="M62" i="9" s="1"/>
  <c r="T62" i="8"/>
  <c r="S62" i="8" s="1"/>
  <c r="D66" i="6"/>
  <c r="BU59" i="9"/>
  <c r="R59" i="11" s="1"/>
  <c r="R70" i="5"/>
  <c r="M70" i="5"/>
  <c r="A71" i="5"/>
  <c r="T71" i="5" s="1"/>
  <c r="O70" i="5"/>
  <c r="T70" i="5"/>
  <c r="Q70" i="5"/>
  <c r="J69" i="5"/>
  <c r="I69" i="5" s="1"/>
  <c r="AI70" i="23" s="1"/>
  <c r="G68" i="5"/>
  <c r="H68" i="5"/>
  <c r="P70" i="5"/>
  <c r="L70" i="5"/>
  <c r="F68" i="5"/>
  <c r="AF69" i="23" s="1"/>
  <c r="AO68" i="9" s="1"/>
  <c r="D68" i="5"/>
  <c r="S70" i="5"/>
  <c r="E68" i="5"/>
  <c r="AE69" i="23" s="1"/>
  <c r="N70" i="5"/>
  <c r="B67" i="5"/>
  <c r="AD68" i="23" s="1"/>
  <c r="C68" i="5"/>
  <c r="I65" i="3"/>
  <c r="Z59" i="8"/>
  <c r="AE59" i="8" s="1"/>
  <c r="V59" i="3" s="1"/>
  <c r="Y59" i="3" s="1"/>
  <c r="AR59" i="3" s="1"/>
  <c r="BF59" i="3" s="1"/>
  <c r="BG59" i="3" s="1"/>
  <c r="W59" i="11" s="1"/>
  <c r="AA59" i="8"/>
  <c r="AC59" i="8" s="1"/>
  <c r="U59" i="3" s="1"/>
  <c r="X59" i="3" s="1"/>
  <c r="AO59" i="3" s="1"/>
  <c r="AD59" i="8"/>
  <c r="T59" i="3" s="1"/>
  <c r="W59" i="3" s="1"/>
  <c r="AL59" i="3" s="1"/>
  <c r="AH59" i="8"/>
  <c r="AA59" i="9" s="1"/>
  <c r="AD59" i="9" s="1"/>
  <c r="AX59" i="9" s="1"/>
  <c r="M68" i="8"/>
  <c r="AU68" i="3"/>
  <c r="J64" i="3"/>
  <c r="A71" i="12"/>
  <c r="I65" i="12"/>
  <c r="H66" i="12"/>
  <c r="F66" i="9"/>
  <c r="F66" i="3"/>
  <c r="A71" i="11"/>
  <c r="Z67" i="3"/>
  <c r="A70" i="8"/>
  <c r="C68" i="8" l="1"/>
  <c r="D68" i="8" s="1"/>
  <c r="B68" i="8"/>
  <c r="AJ68" i="8" s="1"/>
  <c r="G68" i="8"/>
  <c r="AK69" i="8"/>
  <c r="AU70" i="8"/>
  <c r="AM70" i="8"/>
  <c r="AT70" i="8"/>
  <c r="AL70" i="8"/>
  <c r="AS70" i="8"/>
  <c r="AR70" i="8"/>
  <c r="AQ70" i="8"/>
  <c r="AP70" i="8"/>
  <c r="AN70" i="8"/>
  <c r="AO70" i="8"/>
  <c r="AV70" i="8"/>
  <c r="AW70" i="8"/>
  <c r="AX70" i="8"/>
  <c r="AY70" i="8"/>
  <c r="AZ70" i="8"/>
  <c r="BA70" i="8"/>
  <c r="BB70" i="8"/>
  <c r="BC70" i="8"/>
  <c r="BD70" i="8"/>
  <c r="BE70" i="8"/>
  <c r="BF70" i="8"/>
  <c r="AD67" i="3"/>
  <c r="AH69" i="23"/>
  <c r="U68" i="12" s="1"/>
  <c r="AK65" i="3"/>
  <c r="AI66" i="3"/>
  <c r="AJ66" i="3"/>
  <c r="AY58" i="3"/>
  <c r="V58" i="11" s="1"/>
  <c r="AL62" i="9"/>
  <c r="AJ63" i="9"/>
  <c r="AK63" i="9"/>
  <c r="O62" i="9"/>
  <c r="D62" i="11" s="1"/>
  <c r="W62" i="9"/>
  <c r="BB62" i="9" s="1"/>
  <c r="X62" i="9"/>
  <c r="L62" i="8" s="1"/>
  <c r="L65" i="9"/>
  <c r="AG69" i="23"/>
  <c r="H62" i="8"/>
  <c r="I62" i="8" s="1"/>
  <c r="AJ63" i="23"/>
  <c r="AK63" i="23" s="1"/>
  <c r="G68" i="12"/>
  <c r="G67" i="3"/>
  <c r="N67" i="3" s="1"/>
  <c r="G67" i="9"/>
  <c r="E67" i="12"/>
  <c r="R66" i="9"/>
  <c r="F68" i="12"/>
  <c r="E68" i="3"/>
  <c r="E68" i="9"/>
  <c r="W63" i="9"/>
  <c r="BB63" i="9" s="1"/>
  <c r="AJ64" i="23"/>
  <c r="AK64" i="23" s="1"/>
  <c r="A75" i="6"/>
  <c r="AB76" i="22"/>
  <c r="T77" i="22"/>
  <c r="AC79" i="23"/>
  <c r="U80" i="23"/>
  <c r="U78" i="22"/>
  <c r="P77" i="6" s="1"/>
  <c r="AC77" i="22"/>
  <c r="K67" i="12"/>
  <c r="B67" i="3"/>
  <c r="P67" i="12"/>
  <c r="AQ60" i="9"/>
  <c r="P66" i="12"/>
  <c r="AU60" i="9"/>
  <c r="BV60" i="9" s="1"/>
  <c r="BW60" i="9" s="1"/>
  <c r="O60" i="11" s="1"/>
  <c r="AN58" i="3"/>
  <c r="BI58" i="9"/>
  <c r="BJ58" i="9" s="1"/>
  <c r="J60" i="8"/>
  <c r="Q60" i="8" s="1"/>
  <c r="T61" i="9"/>
  <c r="W61" i="8" s="1"/>
  <c r="V60" i="8"/>
  <c r="X60" i="8" s="1"/>
  <c r="Y60" i="8" s="1"/>
  <c r="Z60" i="8" s="1"/>
  <c r="AE60" i="8" s="1"/>
  <c r="V60" i="3" s="1"/>
  <c r="Y60" i="3" s="1"/>
  <c r="AR60" i="3" s="1"/>
  <c r="BF60" i="3" s="1"/>
  <c r="BG60" i="3" s="1"/>
  <c r="W60" i="11" s="1"/>
  <c r="O61" i="9"/>
  <c r="D61" i="11" s="1"/>
  <c r="BB58" i="3"/>
  <c r="BC58" i="3" s="1"/>
  <c r="X58" i="11" s="1"/>
  <c r="AI58" i="8"/>
  <c r="Q58" i="12" s="1"/>
  <c r="AR60" i="9"/>
  <c r="AZ61" i="3"/>
  <c r="BA61" i="3" s="1"/>
  <c r="Z61" i="11" s="1"/>
  <c r="X63" i="9"/>
  <c r="L63" i="8" s="1"/>
  <c r="P61" i="9"/>
  <c r="U61" i="9"/>
  <c r="AZ61" i="9" s="1"/>
  <c r="BM61" i="9" s="1"/>
  <c r="S61" i="9"/>
  <c r="K61" i="8" s="1"/>
  <c r="N61" i="8" s="1"/>
  <c r="O61" i="8" s="1"/>
  <c r="P61" i="8" s="1"/>
  <c r="AH61" i="8" s="1"/>
  <c r="AA61" i="9" s="1"/>
  <c r="AD61" i="9" s="1"/>
  <c r="AX61" i="9" s="1"/>
  <c r="V61" i="9"/>
  <c r="BA61" i="9" s="1"/>
  <c r="BC61" i="9" s="1"/>
  <c r="BQ61" i="9" s="1"/>
  <c r="Q63" i="3"/>
  <c r="H63" i="3"/>
  <c r="M63" i="3" s="1"/>
  <c r="M63" i="9" s="1"/>
  <c r="P63" i="3"/>
  <c r="B64" i="9"/>
  <c r="O64" i="3"/>
  <c r="H63" i="8"/>
  <c r="I63" i="8" s="1"/>
  <c r="R68" i="6"/>
  <c r="AA69" i="17" s="1"/>
  <c r="Q68" i="6"/>
  <c r="AD69" i="17" s="1"/>
  <c r="V70" i="6"/>
  <c r="Y70" i="6"/>
  <c r="X70" i="6"/>
  <c r="AC70" i="6"/>
  <c r="U70" i="6"/>
  <c r="AB70" i="6"/>
  <c r="T70" i="6"/>
  <c r="AA70" i="6"/>
  <c r="W70" i="6"/>
  <c r="Z70" i="6"/>
  <c r="S69" i="6"/>
  <c r="AA66" i="7"/>
  <c r="J65" i="12" s="1"/>
  <c r="AD66" i="7"/>
  <c r="AC66" i="7"/>
  <c r="AG64" i="9"/>
  <c r="M64" i="12"/>
  <c r="V62" i="9"/>
  <c r="BA62" i="9" s="1"/>
  <c r="O64" i="12"/>
  <c r="B64" i="12" s="1"/>
  <c r="AH64" i="9"/>
  <c r="AM64" i="9" s="1"/>
  <c r="S62" i="9"/>
  <c r="K62" i="8" s="1"/>
  <c r="T62" i="9"/>
  <c r="W62" i="8" s="1"/>
  <c r="U62" i="9"/>
  <c r="AZ62" i="9" s="1"/>
  <c r="BM62" i="9" s="1"/>
  <c r="M68" i="6"/>
  <c r="E68" i="6"/>
  <c r="F68" i="6"/>
  <c r="G68" i="6"/>
  <c r="N68" i="6"/>
  <c r="J68" i="6"/>
  <c r="L68" i="6"/>
  <c r="I68" i="6"/>
  <c r="K68" i="6"/>
  <c r="H68" i="6"/>
  <c r="D67" i="6"/>
  <c r="P62" i="9"/>
  <c r="C66" i="6"/>
  <c r="B66" i="6"/>
  <c r="H64" i="3"/>
  <c r="M64" i="3" s="1"/>
  <c r="M64" i="9" s="1"/>
  <c r="Q64" i="3"/>
  <c r="O71" i="5"/>
  <c r="L71" i="5"/>
  <c r="M71" i="5"/>
  <c r="A72" i="5"/>
  <c r="L72" i="5" s="1"/>
  <c r="N71" i="5"/>
  <c r="K71" i="5"/>
  <c r="R71" i="5"/>
  <c r="P71" i="5"/>
  <c r="Q71" i="5"/>
  <c r="S71" i="5"/>
  <c r="G69" i="5"/>
  <c r="E69" i="5"/>
  <c r="AE70" i="23" s="1"/>
  <c r="F69" i="5"/>
  <c r="AF70" i="23" s="1"/>
  <c r="C69" i="5"/>
  <c r="D69" i="5"/>
  <c r="H69" i="5"/>
  <c r="AG59" i="8"/>
  <c r="Y59" i="9" s="1"/>
  <c r="AB59" i="9" s="1"/>
  <c r="AQ59" i="9" s="1"/>
  <c r="AS59" i="9" s="1"/>
  <c r="J70" i="5"/>
  <c r="E70" i="5" s="1"/>
  <c r="AE71" i="23" s="1"/>
  <c r="I66" i="3"/>
  <c r="K66" i="9"/>
  <c r="J65" i="3"/>
  <c r="B68" i="5"/>
  <c r="AD69" i="23" s="1"/>
  <c r="Q59" i="8"/>
  <c r="R59" i="8"/>
  <c r="AF59" i="8" s="1"/>
  <c r="Z59" i="9" s="1"/>
  <c r="AC59" i="9" s="1"/>
  <c r="AT59" i="9" s="1"/>
  <c r="AV59" i="9" s="1"/>
  <c r="M69" i="8"/>
  <c r="AU69" i="3"/>
  <c r="BB59" i="3"/>
  <c r="BC59" i="3" s="1"/>
  <c r="X59" i="11" s="1"/>
  <c r="AN59" i="3"/>
  <c r="AX59" i="3"/>
  <c r="AH60" i="8"/>
  <c r="AA60" i="9" s="1"/>
  <c r="AD60" i="9" s="1"/>
  <c r="AX60" i="9" s="1"/>
  <c r="I66" i="12"/>
  <c r="A72" i="12"/>
  <c r="H67" i="12"/>
  <c r="F67" i="9"/>
  <c r="F67" i="3"/>
  <c r="A72" i="11"/>
  <c r="Z68" i="3"/>
  <c r="A71" i="8"/>
  <c r="G69" i="8" l="1"/>
  <c r="B69" i="8"/>
  <c r="AJ69" i="8" s="1"/>
  <c r="C69" i="8"/>
  <c r="D69" i="8" s="1"/>
  <c r="AS71" i="8"/>
  <c r="AR71" i="8"/>
  <c r="AQ71" i="8"/>
  <c r="AP71" i="8"/>
  <c r="AO71" i="8"/>
  <c r="AN71" i="8"/>
  <c r="AT71" i="8"/>
  <c r="AL71" i="8"/>
  <c r="AM71" i="8"/>
  <c r="AU71" i="8"/>
  <c r="AV71" i="8"/>
  <c r="AW71" i="8"/>
  <c r="AX71" i="8"/>
  <c r="AY71" i="8"/>
  <c r="AZ71" i="8"/>
  <c r="BA71" i="8"/>
  <c r="BB71" i="8"/>
  <c r="BC71" i="8"/>
  <c r="BD71" i="8"/>
  <c r="BE71" i="8"/>
  <c r="BF71" i="8"/>
  <c r="AK71" i="8" s="1"/>
  <c r="AK70" i="8"/>
  <c r="AD68" i="3"/>
  <c r="AH70" i="23"/>
  <c r="U69" i="12" s="1"/>
  <c r="AK66" i="3"/>
  <c r="T63" i="8"/>
  <c r="S63" i="8" s="1"/>
  <c r="AM63" i="3"/>
  <c r="BX63" i="9" s="1"/>
  <c r="AJ67" i="3"/>
  <c r="BK60" i="9"/>
  <c r="BL60" i="9" s="1"/>
  <c r="BH58" i="3"/>
  <c r="BI58" i="3" s="1"/>
  <c r="AA58" i="11" s="1"/>
  <c r="H58" i="11" s="1"/>
  <c r="AY59" i="3"/>
  <c r="V59" i="11" s="1"/>
  <c r="BH59" i="3"/>
  <c r="BI59" i="3" s="1"/>
  <c r="AA59" i="11" s="1"/>
  <c r="AL63" i="9"/>
  <c r="AK64" i="9"/>
  <c r="AJ64" i="9"/>
  <c r="BX62" i="9"/>
  <c r="BY62" i="9" s="1"/>
  <c r="S62" i="11" s="1"/>
  <c r="P62" i="11" s="1"/>
  <c r="AZ62" i="3"/>
  <c r="BA62" i="3" s="1"/>
  <c r="Z62" i="11" s="1"/>
  <c r="BN62" i="9"/>
  <c r="BC62" i="9"/>
  <c r="BQ62" i="9" s="1"/>
  <c r="BR62" i="9" s="1"/>
  <c r="AG70" i="23"/>
  <c r="J64" i="9"/>
  <c r="X64" i="9" s="1"/>
  <c r="L64" i="8" s="1"/>
  <c r="Q64" i="9"/>
  <c r="E68" i="12"/>
  <c r="G68" i="9"/>
  <c r="G68" i="3"/>
  <c r="N68" i="3" s="1"/>
  <c r="AO69" i="9"/>
  <c r="G69" i="12"/>
  <c r="R67" i="9"/>
  <c r="E69" i="3"/>
  <c r="E69" i="9"/>
  <c r="F69" i="12"/>
  <c r="E70" i="3"/>
  <c r="F70" i="12"/>
  <c r="E70" i="9"/>
  <c r="AC80" i="23"/>
  <c r="U81" i="23"/>
  <c r="A76" i="6"/>
  <c r="AB77" i="22"/>
  <c r="T78" i="22"/>
  <c r="U79" i="22"/>
  <c r="P78" i="6" s="1"/>
  <c r="AC78" i="22"/>
  <c r="AU61" i="9"/>
  <c r="BV61" i="9" s="1"/>
  <c r="BW61" i="9" s="1"/>
  <c r="O61" i="11" s="1"/>
  <c r="AD60" i="8"/>
  <c r="T60" i="3" s="1"/>
  <c r="W60" i="3" s="1"/>
  <c r="AL60" i="3" s="1"/>
  <c r="AX60" i="3" s="1"/>
  <c r="AA60" i="8"/>
  <c r="AC60" i="8" s="1"/>
  <c r="U60" i="3" s="1"/>
  <c r="X60" i="3" s="1"/>
  <c r="AO60" i="3" s="1"/>
  <c r="R60" i="8"/>
  <c r="AF60" i="8" s="1"/>
  <c r="Z60" i="9" s="1"/>
  <c r="AC60" i="9" s="1"/>
  <c r="AT60" i="9" s="1"/>
  <c r="AV60" i="9" s="1"/>
  <c r="AC67" i="3"/>
  <c r="AI67" i="3" s="1"/>
  <c r="AC68" i="3"/>
  <c r="K68" i="12"/>
  <c r="B68" i="3"/>
  <c r="AS60" i="9"/>
  <c r="BN61" i="9"/>
  <c r="BY61" i="9"/>
  <c r="S61" i="11" s="1"/>
  <c r="P61" i="11" s="1"/>
  <c r="K63" i="3"/>
  <c r="R63" i="3"/>
  <c r="AS63" i="3" s="1"/>
  <c r="BR61" i="9"/>
  <c r="BT60" i="9"/>
  <c r="J61" i="8"/>
  <c r="Q61" i="8" s="1"/>
  <c r="AR61" i="9"/>
  <c r="L63" i="3"/>
  <c r="N63" i="9" s="1"/>
  <c r="P63" i="9" s="1"/>
  <c r="P64" i="3"/>
  <c r="B65" i="9"/>
  <c r="P65" i="3"/>
  <c r="AM65" i="3" s="1"/>
  <c r="Q69" i="6"/>
  <c r="AD70" i="17" s="1"/>
  <c r="R69" i="6"/>
  <c r="AA70" i="17" s="1"/>
  <c r="Z71" i="6"/>
  <c r="T71" i="6"/>
  <c r="V71" i="6"/>
  <c r="AB71" i="6"/>
  <c r="U71" i="6"/>
  <c r="Y71" i="6"/>
  <c r="AA71" i="6"/>
  <c r="X71" i="6"/>
  <c r="W71" i="6"/>
  <c r="AC71" i="6"/>
  <c r="S70" i="6"/>
  <c r="AA67" i="7"/>
  <c r="J66" i="12" s="1"/>
  <c r="AR62" i="9"/>
  <c r="AD67" i="7"/>
  <c r="AC67" i="7"/>
  <c r="AG65" i="9"/>
  <c r="M65" i="12"/>
  <c r="AH65" i="9"/>
  <c r="AM65" i="9" s="1"/>
  <c r="O65" i="12"/>
  <c r="B65" i="12" s="1"/>
  <c r="K64" i="3"/>
  <c r="AU62" i="9"/>
  <c r="O63" i="9"/>
  <c r="D63" i="11" s="1"/>
  <c r="V63" i="9"/>
  <c r="BA63" i="9" s="1"/>
  <c r="BC63" i="9" s="1"/>
  <c r="BQ63" i="9" s="1"/>
  <c r="T63" i="9"/>
  <c r="U63" i="9"/>
  <c r="AZ63" i="9" s="1"/>
  <c r="BM63" i="9" s="1"/>
  <c r="S63" i="9"/>
  <c r="K63" i="8" s="1"/>
  <c r="C67" i="6"/>
  <c r="B67" i="6"/>
  <c r="K69" i="6"/>
  <c r="L69" i="6"/>
  <c r="M69" i="6"/>
  <c r="I69" i="6"/>
  <c r="J69" i="6"/>
  <c r="N69" i="6"/>
  <c r="G69" i="6"/>
  <c r="F69" i="6"/>
  <c r="H69" i="6"/>
  <c r="E69" i="6"/>
  <c r="D68" i="6"/>
  <c r="R64" i="3"/>
  <c r="AS64" i="3" s="1"/>
  <c r="L64" i="3"/>
  <c r="N64" i="9" s="1"/>
  <c r="Q72" i="5"/>
  <c r="P72" i="5"/>
  <c r="T72" i="5"/>
  <c r="R72" i="5"/>
  <c r="A73" i="5"/>
  <c r="M73" i="5" s="1"/>
  <c r="S72" i="5"/>
  <c r="J71" i="5"/>
  <c r="H71" i="5" s="1"/>
  <c r="N72" i="5"/>
  <c r="M72" i="5"/>
  <c r="O72" i="5"/>
  <c r="K72" i="5"/>
  <c r="B69" i="5"/>
  <c r="AD70" i="23" s="1"/>
  <c r="F70" i="5"/>
  <c r="AF71" i="23" s="1"/>
  <c r="G70" i="5"/>
  <c r="C70" i="5"/>
  <c r="I70" i="5"/>
  <c r="AI71" i="23" s="1"/>
  <c r="D70" i="5"/>
  <c r="H70" i="5"/>
  <c r="L66" i="9"/>
  <c r="J66" i="3"/>
  <c r="K67" i="9"/>
  <c r="L67" i="9" s="1"/>
  <c r="AI59" i="8"/>
  <c r="Q59" i="12" s="1"/>
  <c r="BI59" i="9"/>
  <c r="BJ59" i="9" s="1"/>
  <c r="M70" i="8"/>
  <c r="AU70" i="3"/>
  <c r="V61" i="8"/>
  <c r="X61" i="8" s="1"/>
  <c r="Y61" i="8" s="1"/>
  <c r="AG61" i="8"/>
  <c r="Y61" i="9" s="1"/>
  <c r="AB61" i="9" s="1"/>
  <c r="AQ61" i="9" s="1"/>
  <c r="N62" i="8"/>
  <c r="O62" i="8" s="1"/>
  <c r="P62" i="8" s="1"/>
  <c r="J62" i="8"/>
  <c r="A73" i="12"/>
  <c r="I67" i="12"/>
  <c r="H68" i="12"/>
  <c r="I67" i="3"/>
  <c r="F68" i="9"/>
  <c r="F68" i="3"/>
  <c r="A73" i="11"/>
  <c r="Z69" i="3"/>
  <c r="A72" i="8"/>
  <c r="G71" i="8" l="1"/>
  <c r="B71" i="8"/>
  <c r="AJ71" i="8" s="1"/>
  <c r="C71" i="8"/>
  <c r="D71" i="8" s="1"/>
  <c r="AQ72" i="8"/>
  <c r="AP72" i="8"/>
  <c r="AO72" i="8"/>
  <c r="AN72" i="8"/>
  <c r="AU72" i="8"/>
  <c r="AM72" i="8"/>
  <c r="AT72" i="8"/>
  <c r="AL72" i="8"/>
  <c r="AR72" i="8"/>
  <c r="AS72" i="8"/>
  <c r="AV72" i="8"/>
  <c r="AW72" i="8"/>
  <c r="AX72" i="8"/>
  <c r="AY72" i="8"/>
  <c r="AZ72" i="8"/>
  <c r="BA72" i="8"/>
  <c r="BB72" i="8"/>
  <c r="BC72" i="8"/>
  <c r="BD72" i="8"/>
  <c r="BE72" i="8"/>
  <c r="BF72" i="8"/>
  <c r="AK72" i="8" s="1"/>
  <c r="C70" i="8"/>
  <c r="D70" i="8" s="1"/>
  <c r="B70" i="8"/>
  <c r="AJ70" i="8" s="1"/>
  <c r="G70" i="8"/>
  <c r="AD69" i="3"/>
  <c r="AH72" i="23"/>
  <c r="U71" i="12" s="1"/>
  <c r="W63" i="8"/>
  <c r="AH71" i="23"/>
  <c r="U70" i="12" s="1"/>
  <c r="T64" i="8"/>
  <c r="S64" i="8" s="1"/>
  <c r="AM64" i="3"/>
  <c r="AZ64" i="3" s="1"/>
  <c r="BA64" i="3" s="1"/>
  <c r="Z64" i="11" s="1"/>
  <c r="H59" i="11"/>
  <c r="AK67" i="3"/>
  <c r="AI68" i="3"/>
  <c r="AJ68" i="3"/>
  <c r="BT61" i="9"/>
  <c r="BU61" i="9" s="1"/>
  <c r="R61" i="11" s="1"/>
  <c r="BK61" i="9"/>
  <c r="BL61" i="9" s="1"/>
  <c r="AY60" i="3"/>
  <c r="V60" i="11" s="1"/>
  <c r="BT62" i="9"/>
  <c r="BU62" i="9" s="1"/>
  <c r="R62" i="11" s="1"/>
  <c r="BK62" i="9"/>
  <c r="BL62" i="9" s="1"/>
  <c r="AL64" i="9"/>
  <c r="AJ65" i="9"/>
  <c r="AK65" i="9"/>
  <c r="U64" i="9"/>
  <c r="AZ64" i="9" s="1"/>
  <c r="BM64" i="9" s="1"/>
  <c r="S64" i="9"/>
  <c r="K64" i="8" s="1"/>
  <c r="N64" i="8" s="1"/>
  <c r="O64" i="8" s="1"/>
  <c r="P64" i="8" s="1"/>
  <c r="AG71" i="23"/>
  <c r="O64" i="9"/>
  <c r="D64" i="11" s="1"/>
  <c r="W64" i="9"/>
  <c r="BB64" i="9" s="1"/>
  <c r="T64" i="9"/>
  <c r="H64" i="8"/>
  <c r="I64" i="8" s="1"/>
  <c r="V64" i="9"/>
  <c r="BA64" i="9" s="1"/>
  <c r="AJ65" i="23"/>
  <c r="AK65" i="23" s="1"/>
  <c r="J65" i="9"/>
  <c r="Q65" i="9"/>
  <c r="AO70" i="9"/>
  <c r="G70" i="12"/>
  <c r="R68" i="9"/>
  <c r="E69" i="12"/>
  <c r="G69" i="3"/>
  <c r="N69" i="3" s="1"/>
  <c r="G69" i="9"/>
  <c r="A77" i="6"/>
  <c r="AB78" i="22"/>
  <c r="T79" i="22"/>
  <c r="AC81" i="23"/>
  <c r="U82" i="23"/>
  <c r="U80" i="22"/>
  <c r="P79" i="6" s="1"/>
  <c r="AC79" i="22"/>
  <c r="P68" i="12"/>
  <c r="AN60" i="3"/>
  <c r="BB60" i="3"/>
  <c r="BC60" i="3" s="1"/>
  <c r="X60" i="11" s="1"/>
  <c r="AI60" i="8"/>
  <c r="Q60" i="12" s="1"/>
  <c r="BI60" i="9"/>
  <c r="BJ60" i="9" s="1"/>
  <c r="AS61" i="9"/>
  <c r="B69" i="3"/>
  <c r="K69" i="12"/>
  <c r="P69" i="12"/>
  <c r="R61" i="8"/>
  <c r="AF61" i="8" s="1"/>
  <c r="Z61" i="9" s="1"/>
  <c r="AC61" i="9" s="1"/>
  <c r="AT61" i="9" s="1"/>
  <c r="AV61" i="9" s="1"/>
  <c r="AR63" i="9"/>
  <c r="BU60" i="9"/>
  <c r="R60" i="11" s="1"/>
  <c r="AZ63" i="3"/>
  <c r="BA63" i="3" s="1"/>
  <c r="Z63" i="11" s="1"/>
  <c r="AU63" i="9"/>
  <c r="BV63" i="9" s="1"/>
  <c r="BW63" i="9" s="1"/>
  <c r="O63" i="11" s="1"/>
  <c r="H65" i="3"/>
  <c r="M65" i="3" s="1"/>
  <c r="M65" i="9" s="1"/>
  <c r="O65" i="3"/>
  <c r="Q65" i="3"/>
  <c r="B66" i="9"/>
  <c r="O66" i="3"/>
  <c r="Y72" i="6"/>
  <c r="AC72" i="6"/>
  <c r="AB72" i="6"/>
  <c r="T72" i="6"/>
  <c r="AA72" i="6"/>
  <c r="V72" i="6"/>
  <c r="U72" i="6"/>
  <c r="Z72" i="6"/>
  <c r="W72" i="6"/>
  <c r="X72" i="6"/>
  <c r="S71" i="6"/>
  <c r="Q70" i="6"/>
  <c r="AD71" i="17" s="1"/>
  <c r="R70" i="6"/>
  <c r="AA71" i="17" s="1"/>
  <c r="AA68" i="7"/>
  <c r="B67" i="9" s="1"/>
  <c r="AG66" i="9"/>
  <c r="M66" i="12"/>
  <c r="AC68" i="7"/>
  <c r="AD68" i="7"/>
  <c r="AH66" i="9"/>
  <c r="AM66" i="9" s="1"/>
  <c r="O66" i="12"/>
  <c r="B66" i="12" s="1"/>
  <c r="BV62" i="9"/>
  <c r="F71" i="5"/>
  <c r="AF72" i="23" s="1"/>
  <c r="AO71" i="9" s="1"/>
  <c r="N63" i="8"/>
  <c r="O63" i="8" s="1"/>
  <c r="J63" i="8"/>
  <c r="P64" i="9"/>
  <c r="D69" i="6"/>
  <c r="BY63" i="9"/>
  <c r="S63" i="11" s="1"/>
  <c r="P63" i="11" s="1"/>
  <c r="BR63" i="9"/>
  <c r="BN63" i="9"/>
  <c r="T65" i="8"/>
  <c r="N70" i="6"/>
  <c r="E70" i="6"/>
  <c r="I70" i="6"/>
  <c r="M70" i="6"/>
  <c r="K70" i="6"/>
  <c r="L70" i="6"/>
  <c r="G70" i="6"/>
  <c r="H70" i="6"/>
  <c r="F70" i="6"/>
  <c r="J70" i="6"/>
  <c r="B68" i="6"/>
  <c r="C68" i="6"/>
  <c r="R73" i="5"/>
  <c r="N73" i="5"/>
  <c r="S73" i="5"/>
  <c r="O73" i="5"/>
  <c r="T73" i="5"/>
  <c r="D71" i="5"/>
  <c r="C71" i="5"/>
  <c r="Q73" i="5"/>
  <c r="L73" i="5"/>
  <c r="G71" i="5"/>
  <c r="P73" i="5"/>
  <c r="K73" i="5"/>
  <c r="J72" i="5"/>
  <c r="D72" i="5" s="1"/>
  <c r="A74" i="5"/>
  <c r="R74" i="5" s="1"/>
  <c r="E71" i="5"/>
  <c r="AE72" i="23" s="1"/>
  <c r="I71" i="5"/>
  <c r="AI72" i="23" s="1"/>
  <c r="B70" i="5"/>
  <c r="AD71" i="23" s="1"/>
  <c r="K68" i="9"/>
  <c r="M71" i="8"/>
  <c r="AU71" i="3"/>
  <c r="AA61" i="8"/>
  <c r="AC61" i="8" s="1"/>
  <c r="U61" i="3" s="1"/>
  <c r="X61" i="3" s="1"/>
  <c r="AO61" i="3" s="1"/>
  <c r="BB61" i="3" s="1"/>
  <c r="BC61" i="3" s="1"/>
  <c r="X61" i="11" s="1"/>
  <c r="Z61" i="8"/>
  <c r="AE61" i="8" s="1"/>
  <c r="V61" i="3" s="1"/>
  <c r="Y61" i="3" s="1"/>
  <c r="AR61" i="3" s="1"/>
  <c r="BF61" i="3" s="1"/>
  <c r="BG61" i="3" s="1"/>
  <c r="W61" i="11" s="1"/>
  <c r="AD61" i="8"/>
  <c r="T61" i="3" s="1"/>
  <c r="W61" i="3" s="1"/>
  <c r="AL61" i="3" s="1"/>
  <c r="AN61" i="3" s="1"/>
  <c r="V62" i="8"/>
  <c r="X62" i="8" s="1"/>
  <c r="Y62" i="8" s="1"/>
  <c r="I68" i="12"/>
  <c r="A74" i="12"/>
  <c r="H69" i="12"/>
  <c r="J67" i="3"/>
  <c r="I68" i="3"/>
  <c r="F69" i="3"/>
  <c r="F69" i="9"/>
  <c r="A74" i="11"/>
  <c r="Z70" i="3"/>
  <c r="A73" i="8"/>
  <c r="C72" i="8" l="1"/>
  <c r="D72" i="8" s="1"/>
  <c r="B72" i="8"/>
  <c r="AJ72" i="8" s="1"/>
  <c r="G72" i="8"/>
  <c r="AO73" i="8"/>
  <c r="AN73" i="8"/>
  <c r="AU73" i="8"/>
  <c r="AM73" i="8"/>
  <c r="AT73" i="8"/>
  <c r="AL73" i="8"/>
  <c r="AS73" i="8"/>
  <c r="AR73" i="8"/>
  <c r="AP73" i="8"/>
  <c r="AQ73" i="8"/>
  <c r="AV73" i="8"/>
  <c r="AW73" i="8"/>
  <c r="AX73" i="8"/>
  <c r="AY73" i="8"/>
  <c r="AZ73" i="8"/>
  <c r="BA73" i="8"/>
  <c r="BB73" i="8"/>
  <c r="BC73" i="8"/>
  <c r="BD73" i="8"/>
  <c r="BE73" i="8"/>
  <c r="BF73" i="8"/>
  <c r="AD70" i="3"/>
  <c r="AD71" i="3"/>
  <c r="AK68" i="3"/>
  <c r="BH60" i="3"/>
  <c r="BI60" i="3" s="1"/>
  <c r="AA60" i="11" s="1"/>
  <c r="H60" i="11" s="1"/>
  <c r="AJ69" i="3"/>
  <c r="BK63" i="9"/>
  <c r="BL63" i="9" s="1"/>
  <c r="AL65" i="9"/>
  <c r="AJ66" i="9"/>
  <c r="AK66" i="9"/>
  <c r="AR64" i="9"/>
  <c r="J64" i="8"/>
  <c r="BN64" i="9"/>
  <c r="BC64" i="9"/>
  <c r="BQ64" i="9" s="1"/>
  <c r="BR64" i="9" s="1"/>
  <c r="AG72" i="23"/>
  <c r="W64" i="8"/>
  <c r="AU64" i="9"/>
  <c r="BV64" i="9" s="1"/>
  <c r="BW64" i="9" s="1"/>
  <c r="O64" i="11" s="1"/>
  <c r="W65" i="9"/>
  <c r="BB65" i="9" s="1"/>
  <c r="K69" i="9"/>
  <c r="L69" i="9" s="1"/>
  <c r="AJ66" i="23"/>
  <c r="AK66" i="23" s="1"/>
  <c r="H65" i="8"/>
  <c r="I65" i="8" s="1"/>
  <c r="X65" i="9"/>
  <c r="L65" i="8" s="1"/>
  <c r="O65" i="9"/>
  <c r="D65" i="11" s="1"/>
  <c r="J67" i="9"/>
  <c r="AJ68" i="23" s="1"/>
  <c r="AK68" i="23" s="1"/>
  <c r="Q67" i="9"/>
  <c r="J66" i="9"/>
  <c r="W66" i="9" s="1"/>
  <c r="BB66" i="9" s="1"/>
  <c r="Q66" i="9"/>
  <c r="G70" i="3"/>
  <c r="N70" i="3" s="1"/>
  <c r="G70" i="9"/>
  <c r="E70" i="12"/>
  <c r="R69" i="9"/>
  <c r="G71" i="12"/>
  <c r="F71" i="12"/>
  <c r="E71" i="3"/>
  <c r="E71" i="9"/>
  <c r="AC82" i="23"/>
  <c r="U83" i="23"/>
  <c r="A78" i="6"/>
  <c r="AB79" i="22"/>
  <c r="T80" i="22"/>
  <c r="U81" i="22"/>
  <c r="P80" i="6" s="1"/>
  <c r="AC80" i="22"/>
  <c r="AC69" i="3"/>
  <c r="AI69" i="3" s="1"/>
  <c r="AI61" i="8"/>
  <c r="Q61" i="12" s="1"/>
  <c r="K70" i="12"/>
  <c r="B70" i="3"/>
  <c r="P70" i="12"/>
  <c r="BX64" i="9"/>
  <c r="BY64" i="9" s="1"/>
  <c r="S64" i="11" s="1"/>
  <c r="P64" i="11" s="1"/>
  <c r="S65" i="9"/>
  <c r="K65" i="8" s="1"/>
  <c r="N65" i="8" s="1"/>
  <c r="O65" i="8" s="1"/>
  <c r="P65" i="8" s="1"/>
  <c r="AG65" i="8" s="1"/>
  <c r="Y65" i="9" s="1"/>
  <c r="AB65" i="9" s="1"/>
  <c r="S65" i="8"/>
  <c r="U65" i="9"/>
  <c r="AZ65" i="9" s="1"/>
  <c r="BM65" i="9" s="1"/>
  <c r="R65" i="3"/>
  <c r="AS65" i="3" s="1"/>
  <c r="T65" i="9"/>
  <c r="K65" i="3"/>
  <c r="L65" i="3"/>
  <c r="N65" i="9" s="1"/>
  <c r="P65" i="9" s="1"/>
  <c r="V65" i="9"/>
  <c r="BA65" i="9" s="1"/>
  <c r="H66" i="3"/>
  <c r="M66" i="3" s="1"/>
  <c r="M66" i="9" s="1"/>
  <c r="P66" i="3"/>
  <c r="Q66" i="3"/>
  <c r="J67" i="12"/>
  <c r="S72" i="6"/>
  <c r="Q71" i="6"/>
  <c r="AD72" i="17" s="1"/>
  <c r="R71" i="6"/>
  <c r="AA72" i="17" s="1"/>
  <c r="AC73" i="6"/>
  <c r="AB73" i="6"/>
  <c r="T73" i="6"/>
  <c r="V73" i="6"/>
  <c r="AA73" i="6"/>
  <c r="Z73" i="6"/>
  <c r="X73" i="6"/>
  <c r="U73" i="6"/>
  <c r="Y73" i="6"/>
  <c r="W73" i="6"/>
  <c r="H67" i="3"/>
  <c r="M67" i="3" s="1"/>
  <c r="M67" i="9" s="1"/>
  <c r="BW62" i="9"/>
  <c r="AA69" i="7"/>
  <c r="J68" i="12" s="1"/>
  <c r="M67" i="12"/>
  <c r="AG67" i="9"/>
  <c r="AD69" i="7"/>
  <c r="AC69" i="7"/>
  <c r="O67" i="12"/>
  <c r="B67" i="12" s="1"/>
  <c r="AH67" i="9"/>
  <c r="AM67" i="9" s="1"/>
  <c r="D70" i="6"/>
  <c r="B71" i="5"/>
  <c r="AD72" i="23" s="1"/>
  <c r="C69" i="6"/>
  <c r="B69" i="6"/>
  <c r="E71" i="6"/>
  <c r="J71" i="6"/>
  <c r="H71" i="6"/>
  <c r="M71" i="6"/>
  <c r="N71" i="6"/>
  <c r="G71" i="6"/>
  <c r="F71" i="6"/>
  <c r="I71" i="6"/>
  <c r="L71" i="6"/>
  <c r="K71" i="6"/>
  <c r="P63" i="8"/>
  <c r="V63" i="8"/>
  <c r="X63" i="8" s="1"/>
  <c r="Y63" i="8" s="1"/>
  <c r="BT63" i="9"/>
  <c r="O74" i="5"/>
  <c r="J73" i="5"/>
  <c r="G73" i="5" s="1"/>
  <c r="Q74" i="5"/>
  <c r="P74" i="5"/>
  <c r="A75" i="5"/>
  <c r="N75" i="5" s="1"/>
  <c r="M74" i="5"/>
  <c r="K74" i="5"/>
  <c r="L74" i="5"/>
  <c r="S74" i="5"/>
  <c r="N74" i="5"/>
  <c r="T74" i="5"/>
  <c r="H72" i="5"/>
  <c r="C72" i="5"/>
  <c r="B72" i="5" s="1"/>
  <c r="AD73" i="23" s="1"/>
  <c r="I72" i="5"/>
  <c r="AI73" i="23" s="1"/>
  <c r="F72" i="5"/>
  <c r="AF73" i="23" s="1"/>
  <c r="AO72" i="9" s="1"/>
  <c r="E72" i="5"/>
  <c r="AE73" i="23" s="1"/>
  <c r="G72" i="5"/>
  <c r="L68" i="9"/>
  <c r="R62" i="8"/>
  <c r="AF62" i="8" s="1"/>
  <c r="Z62" i="9" s="1"/>
  <c r="AC62" i="9" s="1"/>
  <c r="AT62" i="9" s="1"/>
  <c r="AV62" i="9" s="1"/>
  <c r="Z62" i="8"/>
  <c r="AE62" i="8" s="1"/>
  <c r="V62" i="3" s="1"/>
  <c r="Y62" i="3" s="1"/>
  <c r="AR62" i="3" s="1"/>
  <c r="BF62" i="3" s="1"/>
  <c r="BG62" i="3" s="1"/>
  <c r="W62" i="11" s="1"/>
  <c r="AA62" i="8"/>
  <c r="AC62" i="8" s="1"/>
  <c r="U62" i="3" s="1"/>
  <c r="X62" i="3" s="1"/>
  <c r="AO62" i="3" s="1"/>
  <c r="AD62" i="8"/>
  <c r="T62" i="3" s="1"/>
  <c r="W62" i="3" s="1"/>
  <c r="AL62" i="3" s="1"/>
  <c r="M72" i="8"/>
  <c r="AU72" i="3"/>
  <c r="AX61" i="3"/>
  <c r="V64" i="8"/>
  <c r="BI61" i="9"/>
  <c r="BJ61" i="9" s="1"/>
  <c r="J68" i="3"/>
  <c r="I69" i="12"/>
  <c r="A75" i="12"/>
  <c r="H70" i="12"/>
  <c r="F70" i="3"/>
  <c r="F70" i="9"/>
  <c r="I69" i="3"/>
  <c r="A75" i="11"/>
  <c r="Z71" i="3"/>
  <c r="A74" i="8"/>
  <c r="AK73" i="8" l="1"/>
  <c r="AU74" i="8"/>
  <c r="AM74" i="8"/>
  <c r="AT74" i="8"/>
  <c r="AL74" i="8"/>
  <c r="AS74" i="8"/>
  <c r="AR74" i="8"/>
  <c r="AQ74" i="8"/>
  <c r="AP74" i="8"/>
  <c r="AN74" i="8"/>
  <c r="AO74" i="8"/>
  <c r="AV74" i="8"/>
  <c r="AW74" i="8"/>
  <c r="AX74" i="8"/>
  <c r="AY74" i="8"/>
  <c r="AZ74" i="8"/>
  <c r="BA74" i="8"/>
  <c r="BB74" i="8"/>
  <c r="BC74" i="8"/>
  <c r="BD74" i="8"/>
  <c r="BE74" i="8"/>
  <c r="BF74" i="8"/>
  <c r="AH73" i="23"/>
  <c r="U72" i="12" s="1"/>
  <c r="T66" i="8"/>
  <c r="S66" i="8" s="1"/>
  <c r="AM66" i="3"/>
  <c r="AJ70" i="3"/>
  <c r="AK69" i="3"/>
  <c r="BT64" i="9"/>
  <c r="BU64" i="9" s="1"/>
  <c r="R64" i="11" s="1"/>
  <c r="BK64" i="9"/>
  <c r="BL64" i="9" s="1"/>
  <c r="AY61" i="3"/>
  <c r="V61" i="11" s="1"/>
  <c r="BH61" i="3"/>
  <c r="BI61" i="3" s="1"/>
  <c r="AA61" i="11" s="1"/>
  <c r="H61" i="11" s="1"/>
  <c r="AL66" i="9"/>
  <c r="AJ67" i="9"/>
  <c r="AK67" i="9"/>
  <c r="X64" i="8"/>
  <c r="Y64" i="8" s="1"/>
  <c r="AD64" i="8" s="1"/>
  <c r="T64" i="3" s="1"/>
  <c r="W64" i="3" s="1"/>
  <c r="AL64" i="3" s="1"/>
  <c r="S66" i="9"/>
  <c r="K66" i="8" s="1"/>
  <c r="N66" i="8" s="1"/>
  <c r="O66" i="8" s="1"/>
  <c r="P66" i="8" s="1"/>
  <c r="AG66" i="8" s="1"/>
  <c r="Y66" i="9" s="1"/>
  <c r="AB66" i="9" s="1"/>
  <c r="AQ66" i="9" s="1"/>
  <c r="AG74" i="23"/>
  <c r="AG73" i="23"/>
  <c r="AZ65" i="3"/>
  <c r="BA65" i="3" s="1"/>
  <c r="Z65" i="11" s="1"/>
  <c r="X66" i="9"/>
  <c r="L66" i="8" s="1"/>
  <c r="BC65" i="9"/>
  <c r="BQ65" i="9" s="1"/>
  <c r="BR65" i="9" s="1"/>
  <c r="AJ67" i="23"/>
  <c r="AK67" i="23" s="1"/>
  <c r="H66" i="8"/>
  <c r="I66" i="8" s="1"/>
  <c r="O67" i="9"/>
  <c r="D67" i="11" s="1"/>
  <c r="W67" i="9"/>
  <c r="BB67" i="9" s="1"/>
  <c r="K70" i="9"/>
  <c r="L70" i="9" s="1"/>
  <c r="BX65" i="9"/>
  <c r="BY65" i="9" s="1"/>
  <c r="S65" i="11" s="1"/>
  <c r="P65" i="11" s="1"/>
  <c r="BN65" i="9"/>
  <c r="X67" i="9"/>
  <c r="H67" i="8"/>
  <c r="I67" i="8" s="1"/>
  <c r="F72" i="12"/>
  <c r="E72" i="9"/>
  <c r="E72" i="3"/>
  <c r="G72" i="12"/>
  <c r="AD72" i="3"/>
  <c r="E71" i="12"/>
  <c r="G71" i="9"/>
  <c r="G71" i="3"/>
  <c r="N71" i="3" s="1"/>
  <c r="E72" i="12"/>
  <c r="G72" i="9"/>
  <c r="G72" i="3"/>
  <c r="R70" i="9"/>
  <c r="A79" i="6"/>
  <c r="AB80" i="22"/>
  <c r="T81" i="22"/>
  <c r="AC83" i="23"/>
  <c r="U84" i="23"/>
  <c r="U82" i="22"/>
  <c r="P81" i="6" s="1"/>
  <c r="AC81" i="22"/>
  <c r="O62" i="11"/>
  <c r="AH63" i="8"/>
  <c r="AA63" i="9" s="1"/>
  <c r="AD63" i="9" s="1"/>
  <c r="AX63" i="9" s="1"/>
  <c r="AG63" i="8"/>
  <c r="Y63" i="9" s="1"/>
  <c r="AB63" i="9" s="1"/>
  <c r="AQ63" i="9" s="1"/>
  <c r="AS63" i="9" s="1"/>
  <c r="AC70" i="3"/>
  <c r="AI70" i="3" s="1"/>
  <c r="AQ65" i="9"/>
  <c r="B71" i="3"/>
  <c r="K71" i="12"/>
  <c r="AC71" i="3"/>
  <c r="J65" i="8"/>
  <c r="R65" i="8" s="1"/>
  <c r="AF65" i="8" s="1"/>
  <c r="K75" i="5"/>
  <c r="O75" i="5"/>
  <c r="U66" i="9"/>
  <c r="AZ66" i="9" s="1"/>
  <c r="BM66" i="9" s="1"/>
  <c r="R66" i="3"/>
  <c r="AS66" i="3" s="1"/>
  <c r="L66" i="3"/>
  <c r="N66" i="9" s="1"/>
  <c r="S73" i="6"/>
  <c r="R73" i="6" s="1"/>
  <c r="AA74" i="17" s="1"/>
  <c r="V66" i="9"/>
  <c r="BA66" i="9" s="1"/>
  <c r="BC66" i="9" s="1"/>
  <c r="BQ66" i="9" s="1"/>
  <c r="O66" i="9"/>
  <c r="D66" i="11" s="1"/>
  <c r="K66" i="3"/>
  <c r="W65" i="8"/>
  <c r="AU65" i="9"/>
  <c r="BV65" i="9" s="1"/>
  <c r="BW65" i="9" s="1"/>
  <c r="O65" i="11" s="1"/>
  <c r="AR65" i="9"/>
  <c r="T66" i="9"/>
  <c r="O67" i="3"/>
  <c r="Q67" i="3"/>
  <c r="R72" i="6"/>
  <c r="AA73" i="17" s="1"/>
  <c r="Q72" i="6"/>
  <c r="AD73" i="17" s="1"/>
  <c r="P67" i="3"/>
  <c r="W74" i="6"/>
  <c r="T74" i="6"/>
  <c r="Y74" i="6"/>
  <c r="X74" i="6"/>
  <c r="U74" i="6"/>
  <c r="AA74" i="6"/>
  <c r="AC74" i="6"/>
  <c r="AB74" i="6"/>
  <c r="Z74" i="6"/>
  <c r="V74" i="6"/>
  <c r="B68" i="9"/>
  <c r="AA70" i="7"/>
  <c r="B69" i="9" s="1"/>
  <c r="Q68" i="3"/>
  <c r="C73" i="5"/>
  <c r="K67" i="3"/>
  <c r="F73" i="5"/>
  <c r="AF74" i="23" s="1"/>
  <c r="AO73" i="9" s="1"/>
  <c r="AG68" i="9"/>
  <c r="M68" i="12"/>
  <c r="AD70" i="7"/>
  <c r="AC70" i="7"/>
  <c r="AH68" i="9"/>
  <c r="AM68" i="9" s="1"/>
  <c r="O68" i="12"/>
  <c r="B68" i="12" s="1"/>
  <c r="I73" i="5"/>
  <c r="AI74" i="23" s="1"/>
  <c r="E73" i="5"/>
  <c r="AE74" i="23" s="1"/>
  <c r="H73" i="5"/>
  <c r="D73" i="5"/>
  <c r="R63" i="8"/>
  <c r="AF63" i="8" s="1"/>
  <c r="Q63" i="8"/>
  <c r="C70" i="6"/>
  <c r="B70" i="6"/>
  <c r="M75" i="5"/>
  <c r="BU63" i="9"/>
  <c r="R63" i="11" s="1"/>
  <c r="R67" i="3"/>
  <c r="AS67" i="3" s="1"/>
  <c r="L67" i="3"/>
  <c r="N67" i="9" s="1"/>
  <c r="P75" i="5"/>
  <c r="M72" i="6"/>
  <c r="E72" i="6"/>
  <c r="H72" i="6"/>
  <c r="J72" i="6"/>
  <c r="G72" i="6"/>
  <c r="N72" i="6"/>
  <c r="K72" i="6"/>
  <c r="L72" i="6"/>
  <c r="F72" i="6"/>
  <c r="I72" i="6"/>
  <c r="AA63" i="8"/>
  <c r="AC63" i="8" s="1"/>
  <c r="U63" i="3" s="1"/>
  <c r="X63" i="3" s="1"/>
  <c r="AO63" i="3" s="1"/>
  <c r="AD63" i="8"/>
  <c r="T63" i="3" s="1"/>
  <c r="W63" i="3" s="1"/>
  <c r="AL63" i="3" s="1"/>
  <c r="Z63" i="8"/>
  <c r="AE63" i="8" s="1"/>
  <c r="V63" i="3" s="1"/>
  <c r="Y63" i="3" s="1"/>
  <c r="AR63" i="3" s="1"/>
  <c r="BF63" i="3" s="1"/>
  <c r="BG63" i="3" s="1"/>
  <c r="W63" i="11" s="1"/>
  <c r="P68" i="3"/>
  <c r="AM68" i="3" s="1"/>
  <c r="D71" i="6"/>
  <c r="V65" i="8"/>
  <c r="A76" i="5"/>
  <c r="P76" i="5" s="1"/>
  <c r="R75" i="5"/>
  <c r="Q75" i="5"/>
  <c r="S75" i="5"/>
  <c r="T75" i="5"/>
  <c r="L75" i="5"/>
  <c r="J74" i="5"/>
  <c r="G74" i="5" s="1"/>
  <c r="AH62" i="8"/>
  <c r="AA62" i="9" s="1"/>
  <c r="AD62" i="9" s="1"/>
  <c r="AX62" i="9" s="1"/>
  <c r="AG62" i="8"/>
  <c r="Y62" i="9" s="1"/>
  <c r="AB62" i="9" s="1"/>
  <c r="AQ62" i="9" s="1"/>
  <c r="AS62" i="9" s="1"/>
  <c r="Q62" i="8"/>
  <c r="M73" i="8"/>
  <c r="AU73" i="3"/>
  <c r="AG64" i="8"/>
  <c r="Y64" i="9" s="1"/>
  <c r="AB64" i="9" s="1"/>
  <c r="AQ64" i="9" s="1"/>
  <c r="AS64" i="9" s="1"/>
  <c r="BB62" i="3"/>
  <c r="BC62" i="3" s="1"/>
  <c r="X62" i="11" s="1"/>
  <c r="AN62" i="3"/>
  <c r="AX62" i="3"/>
  <c r="AH65" i="8"/>
  <c r="AA65" i="9" s="1"/>
  <c r="AD65" i="9" s="1"/>
  <c r="AX65" i="9" s="1"/>
  <c r="T67" i="9"/>
  <c r="V67" i="9"/>
  <c r="BA67" i="9" s="1"/>
  <c r="J69" i="3"/>
  <c r="I70" i="12"/>
  <c r="A76" i="12"/>
  <c r="H71" i="12"/>
  <c r="S67" i="9"/>
  <c r="U67" i="9"/>
  <c r="AZ67" i="9" s="1"/>
  <c r="BM67" i="9" s="1"/>
  <c r="F71" i="9"/>
  <c r="F71" i="3"/>
  <c r="I70" i="3"/>
  <c r="A76" i="11"/>
  <c r="Z72" i="3"/>
  <c r="A75" i="8"/>
  <c r="AK74" i="8" l="1"/>
  <c r="AS75" i="8"/>
  <c r="AR75" i="8"/>
  <c r="AQ75" i="8"/>
  <c r="AP75" i="8"/>
  <c r="AO75" i="8"/>
  <c r="AN75" i="8"/>
  <c r="AT75" i="8"/>
  <c r="AL75" i="8"/>
  <c r="AU75" i="8"/>
  <c r="AM75" i="8"/>
  <c r="AV75" i="8"/>
  <c r="AW75" i="8"/>
  <c r="AX75" i="8"/>
  <c r="AY75" i="8"/>
  <c r="AZ75" i="8"/>
  <c r="BA75" i="8"/>
  <c r="BB75" i="8"/>
  <c r="BC75" i="8"/>
  <c r="BD75" i="8"/>
  <c r="BE75" i="8"/>
  <c r="BF75" i="8"/>
  <c r="B73" i="8"/>
  <c r="AJ73" i="8" s="1"/>
  <c r="G73" i="8"/>
  <c r="C73" i="8"/>
  <c r="D73" i="8" s="1"/>
  <c r="AH74" i="23"/>
  <c r="U73" i="12" s="1"/>
  <c r="W66" i="8"/>
  <c r="T67" i="8"/>
  <c r="W67" i="8" s="1"/>
  <c r="AM67" i="3"/>
  <c r="BX67" i="9" s="1"/>
  <c r="BY67" i="9" s="1"/>
  <c r="S67" i="11" s="1"/>
  <c r="P67" i="11" s="1"/>
  <c r="AK70" i="3"/>
  <c r="AI71" i="3"/>
  <c r="AJ71" i="3"/>
  <c r="BT65" i="9"/>
  <c r="BU65" i="9" s="1"/>
  <c r="R65" i="11" s="1"/>
  <c r="BK65" i="9"/>
  <c r="BL65" i="9" s="1"/>
  <c r="AY62" i="3"/>
  <c r="V62" i="11" s="1"/>
  <c r="BH62" i="3"/>
  <c r="BI62" i="3" s="1"/>
  <c r="AA62" i="11" s="1"/>
  <c r="AJ68" i="9"/>
  <c r="AK68" i="9"/>
  <c r="AL67" i="9"/>
  <c r="AU67" i="9" s="1"/>
  <c r="AA64" i="8"/>
  <c r="AC64" i="8" s="1"/>
  <c r="U64" i="3" s="1"/>
  <c r="X64" i="3" s="1"/>
  <c r="AO64" i="3" s="1"/>
  <c r="BB64" i="3" s="1"/>
  <c r="BC64" i="3" s="1"/>
  <c r="X64" i="11" s="1"/>
  <c r="V66" i="8"/>
  <c r="Z64" i="8"/>
  <c r="AE64" i="8" s="1"/>
  <c r="V64" i="3" s="1"/>
  <c r="Y64" i="3" s="1"/>
  <c r="AR64" i="3" s="1"/>
  <c r="BF64" i="3" s="1"/>
  <c r="BG64" i="3" s="1"/>
  <c r="W64" i="11" s="1"/>
  <c r="AG75" i="23"/>
  <c r="BX66" i="9"/>
  <c r="BY66" i="9" s="1"/>
  <c r="S66" i="11" s="1"/>
  <c r="P66" i="11" s="1"/>
  <c r="L67" i="8"/>
  <c r="BC67" i="9"/>
  <c r="BQ67" i="9" s="1"/>
  <c r="BR67" i="9" s="1"/>
  <c r="K71" i="9"/>
  <c r="J69" i="9"/>
  <c r="X69" i="9" s="1"/>
  <c r="Q69" i="9"/>
  <c r="J68" i="9"/>
  <c r="AJ69" i="23" s="1"/>
  <c r="AK69" i="23" s="1"/>
  <c r="Q68" i="9"/>
  <c r="R72" i="9"/>
  <c r="G73" i="12"/>
  <c r="F73" i="12"/>
  <c r="E73" i="9"/>
  <c r="E73" i="3"/>
  <c r="R71" i="9"/>
  <c r="AC84" i="23"/>
  <c r="U85" i="23"/>
  <c r="A80" i="6"/>
  <c r="AB81" i="22"/>
  <c r="T82" i="22"/>
  <c r="U83" i="22"/>
  <c r="P82" i="6" s="1"/>
  <c r="AC82" i="22"/>
  <c r="Q65" i="8"/>
  <c r="AC72" i="3"/>
  <c r="B72" i="3"/>
  <c r="K72" i="12"/>
  <c r="P71" i="12"/>
  <c r="B73" i="3"/>
  <c r="K73" i="12"/>
  <c r="AZ66" i="3"/>
  <c r="BA66" i="3" s="1"/>
  <c r="Z66" i="11" s="1"/>
  <c r="R76" i="5"/>
  <c r="Q73" i="6"/>
  <c r="AD74" i="17" s="1"/>
  <c r="AR66" i="9"/>
  <c r="P66" i="9"/>
  <c r="BR66" i="9"/>
  <c r="A77" i="5"/>
  <c r="P77" i="5" s="1"/>
  <c r="Q76" i="5"/>
  <c r="M76" i="5"/>
  <c r="K76" i="5"/>
  <c r="O76" i="5"/>
  <c r="T76" i="5"/>
  <c r="S76" i="5"/>
  <c r="L76" i="5"/>
  <c r="BN66" i="9"/>
  <c r="N76" i="5"/>
  <c r="X65" i="8"/>
  <c r="Y65" i="8" s="1"/>
  <c r="AA65" i="8" s="1"/>
  <c r="AC65" i="8" s="1"/>
  <c r="U65" i="3" s="1"/>
  <c r="X65" i="3" s="1"/>
  <c r="AO65" i="3" s="1"/>
  <c r="BB65" i="3" s="1"/>
  <c r="BC65" i="3" s="1"/>
  <c r="X65" i="11" s="1"/>
  <c r="AS65" i="9"/>
  <c r="AU66" i="9"/>
  <c r="J66" i="8"/>
  <c r="R66" i="8" s="1"/>
  <c r="AF66" i="8" s="1"/>
  <c r="Z66" i="9" s="1"/>
  <c r="AC66" i="9" s="1"/>
  <c r="AT66" i="9" s="1"/>
  <c r="S74" i="6"/>
  <c r="W75" i="6"/>
  <c r="T75" i="6"/>
  <c r="AC75" i="6"/>
  <c r="AA75" i="6"/>
  <c r="V75" i="6"/>
  <c r="AB75" i="6"/>
  <c r="U75" i="6"/>
  <c r="Z75" i="6"/>
  <c r="X75" i="6"/>
  <c r="Y75" i="6"/>
  <c r="H69" i="3"/>
  <c r="K69" i="3" s="1"/>
  <c r="I71" i="3"/>
  <c r="J69" i="12"/>
  <c r="H68" i="3"/>
  <c r="L68" i="3" s="1"/>
  <c r="N68" i="9" s="1"/>
  <c r="O68" i="3"/>
  <c r="AA71" i="7"/>
  <c r="J70" i="12" s="1"/>
  <c r="B73" i="5"/>
  <c r="AD74" i="23" s="1"/>
  <c r="AC71" i="7"/>
  <c r="AD71" i="7"/>
  <c r="M69" i="12"/>
  <c r="AG69" i="9"/>
  <c r="AH69" i="9"/>
  <c r="AM69" i="9" s="1"/>
  <c r="O69" i="12"/>
  <c r="B69" i="12" s="1"/>
  <c r="D74" i="5"/>
  <c r="C74" i="5"/>
  <c r="N72" i="3"/>
  <c r="T68" i="8"/>
  <c r="S68" i="8" s="1"/>
  <c r="C71" i="6"/>
  <c r="B71" i="6"/>
  <c r="G73" i="6"/>
  <c r="N73" i="6"/>
  <c r="E73" i="6"/>
  <c r="I73" i="6"/>
  <c r="K73" i="6"/>
  <c r="L73" i="6"/>
  <c r="J73" i="6"/>
  <c r="H73" i="6"/>
  <c r="M73" i="6"/>
  <c r="F73" i="6"/>
  <c r="P67" i="9"/>
  <c r="AR67" i="9"/>
  <c r="D72" i="6"/>
  <c r="Z63" i="9"/>
  <c r="AC63" i="9" s="1"/>
  <c r="AT63" i="9" s="1"/>
  <c r="AI63" i="8"/>
  <c r="Q63" i="12" s="1"/>
  <c r="J75" i="5"/>
  <c r="D75" i="5" s="1"/>
  <c r="AN63" i="3"/>
  <c r="AX63" i="3"/>
  <c r="BB63" i="3"/>
  <c r="BC63" i="3" s="1"/>
  <c r="X63" i="11" s="1"/>
  <c r="H74" i="5"/>
  <c r="E74" i="5"/>
  <c r="AE75" i="23" s="1"/>
  <c r="F74" i="5"/>
  <c r="AF75" i="23" s="1"/>
  <c r="AO74" i="9" s="1"/>
  <c r="I74" i="5"/>
  <c r="AI75" i="23" s="1"/>
  <c r="BI62" i="9"/>
  <c r="BJ62" i="9" s="1"/>
  <c r="AI62" i="8"/>
  <c r="Q62" i="12" s="1"/>
  <c r="AH64" i="8"/>
  <c r="AA64" i="9" s="1"/>
  <c r="AD64" i="9" s="1"/>
  <c r="AX64" i="9" s="1"/>
  <c r="R64" i="8"/>
  <c r="AF64" i="8" s="1"/>
  <c r="Z64" i="9" s="1"/>
  <c r="AC64" i="9" s="1"/>
  <c r="AT64" i="9" s="1"/>
  <c r="AV64" i="9" s="1"/>
  <c r="Q64" i="8"/>
  <c r="M74" i="8"/>
  <c r="AU74" i="3"/>
  <c r="AN64" i="3"/>
  <c r="AX64" i="3"/>
  <c r="AH66" i="8"/>
  <c r="AA66" i="9" s="1"/>
  <c r="AD66" i="9" s="1"/>
  <c r="AX66" i="9" s="1"/>
  <c r="AI65" i="8"/>
  <c r="Q65" i="12" s="1"/>
  <c r="Z65" i="9"/>
  <c r="AC65" i="9" s="1"/>
  <c r="AT65" i="9" s="1"/>
  <c r="AV65" i="9" s="1"/>
  <c r="J70" i="3"/>
  <c r="I71" i="12"/>
  <c r="A77" i="12"/>
  <c r="H72" i="12"/>
  <c r="BN67" i="9"/>
  <c r="K67" i="8"/>
  <c r="N67" i="8" s="1"/>
  <c r="O67" i="8" s="1"/>
  <c r="P67" i="8" s="1"/>
  <c r="F72" i="9"/>
  <c r="K72" i="9" s="1"/>
  <c r="F72" i="3"/>
  <c r="A77" i="11"/>
  <c r="Z73" i="3"/>
  <c r="A76" i="8"/>
  <c r="AD73" i="3" l="1"/>
  <c r="AK75" i="8"/>
  <c r="AQ76" i="8"/>
  <c r="AP76" i="8"/>
  <c r="AO76" i="8"/>
  <c r="AN76" i="8"/>
  <c r="AU76" i="8"/>
  <c r="AM76" i="8"/>
  <c r="AT76" i="8"/>
  <c r="AL76" i="8"/>
  <c r="AR76" i="8"/>
  <c r="AS76" i="8"/>
  <c r="AV76" i="8"/>
  <c r="AW76" i="8"/>
  <c r="AX76" i="8"/>
  <c r="AY76" i="8"/>
  <c r="AZ76" i="8"/>
  <c r="BA76" i="8"/>
  <c r="BB76" i="8"/>
  <c r="BC76" i="8"/>
  <c r="BD76" i="8"/>
  <c r="BE76" i="8"/>
  <c r="BF76" i="8"/>
  <c r="B74" i="8"/>
  <c r="AJ74" i="8" s="1"/>
  <c r="C74" i="8"/>
  <c r="D74" i="8" s="1"/>
  <c r="G74" i="8"/>
  <c r="S67" i="8"/>
  <c r="AH75" i="23"/>
  <c r="U74" i="12" s="1"/>
  <c r="H62" i="11"/>
  <c r="X66" i="8"/>
  <c r="Y66" i="8" s="1"/>
  <c r="Z66" i="8" s="1"/>
  <c r="AE66" i="8" s="1"/>
  <c r="V66" i="3" s="1"/>
  <c r="Y66" i="3" s="1"/>
  <c r="AR66" i="3" s="1"/>
  <c r="BF66" i="3" s="1"/>
  <c r="BG66" i="3" s="1"/>
  <c r="W66" i="11" s="1"/>
  <c r="AK71" i="3"/>
  <c r="AI72" i="3"/>
  <c r="AJ72" i="3"/>
  <c r="AY64" i="3"/>
  <c r="V64" i="11" s="1"/>
  <c r="BH64" i="3"/>
  <c r="BI64" i="3" s="1"/>
  <c r="AA64" i="11" s="1"/>
  <c r="BT66" i="9"/>
  <c r="BU66" i="9" s="1"/>
  <c r="R66" i="11" s="1"/>
  <c r="BK66" i="9"/>
  <c r="BL66" i="9" s="1"/>
  <c r="BT67" i="9"/>
  <c r="BU67" i="9" s="1"/>
  <c r="R67" i="11" s="1"/>
  <c r="BK67" i="9"/>
  <c r="BL67" i="9" s="1"/>
  <c r="AY63" i="3"/>
  <c r="V63" i="11" s="1"/>
  <c r="BH63" i="3"/>
  <c r="BI63" i="3" s="1"/>
  <c r="AA63" i="11" s="1"/>
  <c r="AJ69" i="9"/>
  <c r="AK69" i="9"/>
  <c r="AL68" i="9"/>
  <c r="L71" i="9"/>
  <c r="H69" i="8"/>
  <c r="I69" i="8" s="1"/>
  <c r="W69" i="9"/>
  <c r="BB69" i="9" s="1"/>
  <c r="X68" i="9"/>
  <c r="L68" i="8" s="1"/>
  <c r="W68" i="9"/>
  <c r="BB68" i="9" s="1"/>
  <c r="H68" i="8"/>
  <c r="I68" i="8" s="1"/>
  <c r="AJ70" i="23"/>
  <c r="AK70" i="23" s="1"/>
  <c r="G74" i="12"/>
  <c r="E74" i="3"/>
  <c r="E74" i="9"/>
  <c r="F74" i="12"/>
  <c r="E73" i="12"/>
  <c r="G73" i="9"/>
  <c r="G73" i="3"/>
  <c r="N73" i="3" s="1"/>
  <c r="A81" i="6"/>
  <c r="AB82" i="22"/>
  <c r="T83" i="22"/>
  <c r="AC85" i="23"/>
  <c r="U86" i="23"/>
  <c r="U84" i="22"/>
  <c r="P83" i="6" s="1"/>
  <c r="AC83" i="22"/>
  <c r="R77" i="5"/>
  <c r="N77" i="5"/>
  <c r="P72" i="12"/>
  <c r="AC73" i="3"/>
  <c r="AS66" i="9"/>
  <c r="Q77" i="5"/>
  <c r="O77" i="5"/>
  <c r="L77" i="5"/>
  <c r="B74" i="5"/>
  <c r="AD75" i="23" s="1"/>
  <c r="J76" i="5"/>
  <c r="D76" i="5" s="1"/>
  <c r="Z65" i="8"/>
  <c r="AE65" i="8" s="1"/>
  <c r="V65" i="3" s="1"/>
  <c r="Y65" i="3" s="1"/>
  <c r="AR65" i="3" s="1"/>
  <c r="BF65" i="3" s="1"/>
  <c r="BG65" i="3" s="1"/>
  <c r="W65" i="11" s="1"/>
  <c r="Q66" i="8"/>
  <c r="A78" i="5"/>
  <c r="O78" i="5" s="1"/>
  <c r="K77" i="5"/>
  <c r="T77" i="5"/>
  <c r="M77" i="5"/>
  <c r="S77" i="5"/>
  <c r="M68" i="3"/>
  <c r="M68" i="9" s="1"/>
  <c r="O68" i="9" s="1"/>
  <c r="D68" i="11" s="1"/>
  <c r="AV66" i="9"/>
  <c r="BV66" i="9"/>
  <c r="BW66" i="9" s="1"/>
  <c r="O66" i="11" s="1"/>
  <c r="AD65" i="8"/>
  <c r="T65" i="3" s="1"/>
  <c r="W65" i="3" s="1"/>
  <c r="AL65" i="3" s="1"/>
  <c r="AX65" i="3" s="1"/>
  <c r="AZ67" i="3"/>
  <c r="BA67" i="3" s="1"/>
  <c r="Z67" i="11" s="1"/>
  <c r="R68" i="3"/>
  <c r="AS68" i="3" s="1"/>
  <c r="H70" i="3"/>
  <c r="K70" i="3" s="1"/>
  <c r="B70" i="9"/>
  <c r="P69" i="3"/>
  <c r="K68" i="3"/>
  <c r="Q69" i="3"/>
  <c r="Y76" i="6"/>
  <c r="AC76" i="6"/>
  <c r="AB76" i="6"/>
  <c r="U76" i="6"/>
  <c r="V76" i="6"/>
  <c r="Z76" i="6"/>
  <c r="T76" i="6"/>
  <c r="W76" i="6"/>
  <c r="AA76" i="6"/>
  <c r="X76" i="6"/>
  <c r="O69" i="3"/>
  <c r="J71" i="3"/>
  <c r="S75" i="6"/>
  <c r="R74" i="6"/>
  <c r="AA75" i="17" s="1"/>
  <c r="Q74" i="6"/>
  <c r="AD75" i="17" s="1"/>
  <c r="AA72" i="7"/>
  <c r="I75" i="5"/>
  <c r="AI76" i="23" s="1"/>
  <c r="AD72" i="7"/>
  <c r="AC72" i="7"/>
  <c r="AH70" i="9"/>
  <c r="AM70" i="9" s="1"/>
  <c r="O70" i="12"/>
  <c r="B70" i="12" s="1"/>
  <c r="AG70" i="9"/>
  <c r="M70" i="12"/>
  <c r="M69" i="3"/>
  <c r="M69" i="9" s="1"/>
  <c r="O69" i="9" s="1"/>
  <c r="D69" i="11" s="1"/>
  <c r="AV63" i="9"/>
  <c r="BI63" i="9"/>
  <c r="BJ63" i="9" s="1"/>
  <c r="D73" i="6"/>
  <c r="E75" i="5"/>
  <c r="AE76" i="23" s="1"/>
  <c r="P68" i="9"/>
  <c r="F75" i="5"/>
  <c r="AF76" i="23" s="1"/>
  <c r="AO75" i="9" s="1"/>
  <c r="G75" i="5"/>
  <c r="L69" i="8"/>
  <c r="H75" i="5"/>
  <c r="O70" i="3"/>
  <c r="C72" i="6"/>
  <c r="B72" i="6"/>
  <c r="L74" i="6"/>
  <c r="M74" i="6"/>
  <c r="I74" i="6"/>
  <c r="E74" i="6"/>
  <c r="N74" i="6"/>
  <c r="K74" i="6"/>
  <c r="H74" i="6"/>
  <c r="G74" i="6"/>
  <c r="F74" i="6"/>
  <c r="J74" i="6"/>
  <c r="C75" i="5"/>
  <c r="B75" i="5" s="1"/>
  <c r="AD76" i="23" s="1"/>
  <c r="R69" i="3"/>
  <c r="AS69" i="3" s="1"/>
  <c r="L69" i="3"/>
  <c r="N69" i="9" s="1"/>
  <c r="AI64" i="8"/>
  <c r="Q64" i="12" s="1"/>
  <c r="BI64" i="9"/>
  <c r="BJ64" i="9" s="1"/>
  <c r="M75" i="8"/>
  <c r="AU75" i="3"/>
  <c r="BV67" i="9"/>
  <c r="BI65" i="9"/>
  <c r="BJ65" i="9" s="1"/>
  <c r="AI66" i="8"/>
  <c r="Q66" i="12" s="1"/>
  <c r="BI66" i="9"/>
  <c r="BJ66" i="9" s="1"/>
  <c r="V67" i="8"/>
  <c r="X67" i="8" s="1"/>
  <c r="Y67" i="8" s="1"/>
  <c r="J67" i="8"/>
  <c r="L72" i="9"/>
  <c r="I72" i="12"/>
  <c r="A78" i="12"/>
  <c r="H73" i="12"/>
  <c r="I72" i="3"/>
  <c r="F73" i="9"/>
  <c r="F73" i="3"/>
  <c r="A78" i="11"/>
  <c r="Z74" i="3"/>
  <c r="A77" i="8"/>
  <c r="AK76" i="8" l="1"/>
  <c r="AT77" i="8"/>
  <c r="AS77" i="8"/>
  <c r="AR77" i="8"/>
  <c r="AQ77" i="8"/>
  <c r="AP77" i="8"/>
  <c r="AO77" i="8"/>
  <c r="AN77" i="8"/>
  <c r="AM77" i="8"/>
  <c r="AL77" i="8"/>
  <c r="AU77" i="8"/>
  <c r="AV77" i="8"/>
  <c r="AW77" i="8"/>
  <c r="AX77" i="8"/>
  <c r="AY77" i="8"/>
  <c r="AZ77" i="8"/>
  <c r="BA77" i="8"/>
  <c r="BB77" i="8"/>
  <c r="BC77" i="8"/>
  <c r="BD77" i="8"/>
  <c r="BE77" i="8"/>
  <c r="BF77" i="8"/>
  <c r="G75" i="8"/>
  <c r="C75" i="8"/>
  <c r="D75" i="8" s="1"/>
  <c r="B75" i="8"/>
  <c r="AJ75" i="8" s="1"/>
  <c r="AD74" i="3"/>
  <c r="AH76" i="23"/>
  <c r="U75" i="12" s="1"/>
  <c r="H64" i="11"/>
  <c r="AD66" i="8"/>
  <c r="T66" i="3" s="1"/>
  <c r="W66" i="3" s="1"/>
  <c r="AL66" i="3" s="1"/>
  <c r="AN66" i="3" s="1"/>
  <c r="AA66" i="8"/>
  <c r="AC66" i="8" s="1"/>
  <c r="U66" i="3" s="1"/>
  <c r="X66" i="3" s="1"/>
  <c r="AO66" i="3" s="1"/>
  <c r="BB66" i="3" s="1"/>
  <c r="BC66" i="3" s="1"/>
  <c r="X66" i="11" s="1"/>
  <c r="AK72" i="3"/>
  <c r="T69" i="8"/>
  <c r="S69" i="8" s="1"/>
  <c r="AM69" i="3"/>
  <c r="AZ69" i="3" s="1"/>
  <c r="BA69" i="3" s="1"/>
  <c r="Z69" i="11" s="1"/>
  <c r="H63" i="11"/>
  <c r="AI73" i="3"/>
  <c r="AJ73" i="3"/>
  <c r="AY65" i="3"/>
  <c r="V65" i="11" s="1"/>
  <c r="BH65" i="3"/>
  <c r="BI65" i="3" s="1"/>
  <c r="AA65" i="11" s="1"/>
  <c r="H65" i="11" s="1"/>
  <c r="AL69" i="9"/>
  <c r="AK70" i="9"/>
  <c r="AJ70" i="9"/>
  <c r="AG76" i="23"/>
  <c r="BX68" i="9"/>
  <c r="BY68" i="9" s="1"/>
  <c r="S68" i="11" s="1"/>
  <c r="P68" i="11" s="1"/>
  <c r="AZ68" i="3"/>
  <c r="BA68" i="3" s="1"/>
  <c r="Z68" i="11" s="1"/>
  <c r="J70" i="9"/>
  <c r="Q70" i="9"/>
  <c r="E75" i="12"/>
  <c r="G75" i="9"/>
  <c r="G75" i="3"/>
  <c r="G74" i="9"/>
  <c r="E74" i="12"/>
  <c r="G74" i="3"/>
  <c r="N74" i="3" s="1"/>
  <c r="G75" i="12"/>
  <c r="E75" i="9"/>
  <c r="F75" i="12"/>
  <c r="E75" i="3"/>
  <c r="R73" i="9"/>
  <c r="AC86" i="23"/>
  <c r="U87" i="23"/>
  <c r="A82" i="6"/>
  <c r="AB83" i="22"/>
  <c r="T84" i="22"/>
  <c r="U85" i="22"/>
  <c r="P84" i="6" s="1"/>
  <c r="AC84" i="22"/>
  <c r="F76" i="5"/>
  <c r="AF77" i="23" s="1"/>
  <c r="AO76" i="9" s="1"/>
  <c r="U68" i="9"/>
  <c r="AZ68" i="9" s="1"/>
  <c r="BM68" i="9" s="1"/>
  <c r="BN68" i="9" s="1"/>
  <c r="P73" i="12"/>
  <c r="AC74" i="3"/>
  <c r="K74" i="12"/>
  <c r="B74" i="3"/>
  <c r="K78" i="5"/>
  <c r="M78" i="5"/>
  <c r="T78" i="5"/>
  <c r="R78" i="5"/>
  <c r="A79" i="5"/>
  <c r="N79" i="5" s="1"/>
  <c r="K73" i="9"/>
  <c r="P78" i="5"/>
  <c r="I76" i="5"/>
  <c r="AI77" i="23" s="1"/>
  <c r="H76" i="5"/>
  <c r="G76" i="5"/>
  <c r="S78" i="5"/>
  <c r="C76" i="5"/>
  <c r="B76" i="5" s="1"/>
  <c r="AD77" i="23" s="1"/>
  <c r="Q78" i="5"/>
  <c r="E76" i="5"/>
  <c r="AE77" i="23" s="1"/>
  <c r="N78" i="5"/>
  <c r="L78" i="5"/>
  <c r="J77" i="5"/>
  <c r="E77" i="5" s="1"/>
  <c r="AE78" i="23" s="1"/>
  <c r="S68" i="9"/>
  <c r="K68" i="8" s="1"/>
  <c r="N68" i="8" s="1"/>
  <c r="O68" i="8" s="1"/>
  <c r="P68" i="8" s="1"/>
  <c r="AG68" i="8" s="1"/>
  <c r="Y68" i="9" s="1"/>
  <c r="AB68" i="9" s="1"/>
  <c r="V68" i="9"/>
  <c r="BA68" i="9" s="1"/>
  <c r="BC68" i="9" s="1"/>
  <c r="BQ68" i="9" s="1"/>
  <c r="BR68" i="9" s="1"/>
  <c r="T68" i="9"/>
  <c r="W68" i="8" s="1"/>
  <c r="AN65" i="3"/>
  <c r="P70" i="3"/>
  <c r="AM70" i="3" s="1"/>
  <c r="Q70" i="3"/>
  <c r="J71" i="12"/>
  <c r="B71" i="9"/>
  <c r="S76" i="6"/>
  <c r="Q75" i="6"/>
  <c r="AD76" i="17" s="1"/>
  <c r="R75" i="6"/>
  <c r="AA76" i="17" s="1"/>
  <c r="S69" i="9"/>
  <c r="K69" i="8" s="1"/>
  <c r="N69" i="8" s="1"/>
  <c r="O69" i="8" s="1"/>
  <c r="P69" i="8" s="1"/>
  <c r="V77" i="6"/>
  <c r="Y77" i="6"/>
  <c r="AB77" i="6"/>
  <c r="U77" i="6"/>
  <c r="X77" i="6"/>
  <c r="Z77" i="6"/>
  <c r="T77" i="6"/>
  <c r="AA77" i="6"/>
  <c r="AC77" i="6"/>
  <c r="W77" i="6"/>
  <c r="AA73" i="7"/>
  <c r="B72" i="9" s="1"/>
  <c r="T69" i="9"/>
  <c r="V69" i="9"/>
  <c r="BA69" i="9" s="1"/>
  <c r="BC69" i="9" s="1"/>
  <c r="BQ69" i="9" s="1"/>
  <c r="BR69" i="9" s="1"/>
  <c r="AD73" i="7"/>
  <c r="AC73" i="7"/>
  <c r="M71" i="12"/>
  <c r="AG71" i="9"/>
  <c r="AH71" i="9"/>
  <c r="AM71" i="9" s="1"/>
  <c r="O71" i="12"/>
  <c r="B71" i="12" s="1"/>
  <c r="M70" i="3"/>
  <c r="M70" i="9" s="1"/>
  <c r="U69" i="9"/>
  <c r="AZ69" i="9" s="1"/>
  <c r="BM69" i="9" s="1"/>
  <c r="BN69" i="9" s="1"/>
  <c r="D74" i="6"/>
  <c r="C73" i="6"/>
  <c r="B73" i="6"/>
  <c r="F75" i="6"/>
  <c r="L75" i="6"/>
  <c r="H75" i="6"/>
  <c r="I75" i="6"/>
  <c r="E75" i="6"/>
  <c r="M75" i="6"/>
  <c r="G75" i="6"/>
  <c r="J75" i="6"/>
  <c r="K75" i="6"/>
  <c r="N75" i="6"/>
  <c r="H71" i="3"/>
  <c r="P71" i="3"/>
  <c r="AM71" i="3" s="1"/>
  <c r="Q71" i="3"/>
  <c r="O71" i="3"/>
  <c r="P69" i="9"/>
  <c r="R70" i="3"/>
  <c r="AS70" i="3" s="1"/>
  <c r="L70" i="3"/>
  <c r="N70" i="9" s="1"/>
  <c r="M76" i="8"/>
  <c r="AU76" i="3"/>
  <c r="BW67" i="9"/>
  <c r="AA67" i="8"/>
  <c r="AC67" i="8" s="1"/>
  <c r="Z67" i="8"/>
  <c r="AE67" i="8" s="1"/>
  <c r="AD67" i="8"/>
  <c r="R67" i="8"/>
  <c r="AF67" i="8" s="1"/>
  <c r="J72" i="3"/>
  <c r="I73" i="12"/>
  <c r="A79" i="12"/>
  <c r="H74" i="12"/>
  <c r="F74" i="9"/>
  <c r="F74" i="3"/>
  <c r="I73" i="3"/>
  <c r="A79" i="11"/>
  <c r="Z75" i="3"/>
  <c r="A78" i="8"/>
  <c r="AR78" i="8" l="1"/>
  <c r="AQ78" i="8"/>
  <c r="AP78" i="8"/>
  <c r="AO78" i="8"/>
  <c r="AN78" i="8"/>
  <c r="AU78" i="8"/>
  <c r="AM78" i="8"/>
  <c r="AT78" i="8"/>
  <c r="AL78" i="8"/>
  <c r="AS78" i="8"/>
  <c r="AV78" i="8"/>
  <c r="AW78" i="8"/>
  <c r="AX78" i="8"/>
  <c r="AY78" i="8"/>
  <c r="AZ78" i="8"/>
  <c r="BA78" i="8"/>
  <c r="BB78" i="8"/>
  <c r="BC78" i="8"/>
  <c r="BD78" i="8"/>
  <c r="BE78" i="8"/>
  <c r="BF78" i="8"/>
  <c r="AK77" i="8"/>
  <c r="C76" i="8"/>
  <c r="D76" i="8" s="1"/>
  <c r="B76" i="8"/>
  <c r="AJ76" i="8" s="1"/>
  <c r="G76" i="8"/>
  <c r="AD75" i="3"/>
  <c r="AH77" i="23"/>
  <c r="U76" i="12" s="1"/>
  <c r="AX66" i="3"/>
  <c r="AY66" i="3" s="1"/>
  <c r="V66" i="11" s="1"/>
  <c r="W69" i="8"/>
  <c r="AK73" i="3"/>
  <c r="AI74" i="3"/>
  <c r="AJ74" i="3"/>
  <c r="AL70" i="9"/>
  <c r="AK71" i="9"/>
  <c r="AJ71" i="9"/>
  <c r="AG77" i="23"/>
  <c r="O70" i="9"/>
  <c r="D70" i="11" s="1"/>
  <c r="H70" i="8"/>
  <c r="I70" i="8" s="1"/>
  <c r="W70" i="9"/>
  <c r="BB70" i="9" s="1"/>
  <c r="J71" i="9"/>
  <c r="H71" i="8" s="1"/>
  <c r="I71" i="8" s="1"/>
  <c r="Q71" i="9"/>
  <c r="X70" i="9"/>
  <c r="L70" i="8" s="1"/>
  <c r="AJ71" i="23"/>
  <c r="AK71" i="23" s="1"/>
  <c r="J72" i="9"/>
  <c r="X72" i="9" s="1"/>
  <c r="L72" i="8" s="1"/>
  <c r="Q72" i="9"/>
  <c r="F76" i="12"/>
  <c r="E76" i="9"/>
  <c r="E76" i="3"/>
  <c r="G76" i="3"/>
  <c r="E76" i="12"/>
  <c r="G76" i="9"/>
  <c r="R74" i="9"/>
  <c r="R75" i="9"/>
  <c r="F77" i="12"/>
  <c r="E77" i="9"/>
  <c r="E77" i="3"/>
  <c r="G76" i="12"/>
  <c r="AC87" i="23"/>
  <c r="U88" i="23"/>
  <c r="A83" i="6"/>
  <c r="AB84" i="22"/>
  <c r="T85" i="22"/>
  <c r="U86" i="22"/>
  <c r="P85" i="6" s="1"/>
  <c r="AC85" i="22"/>
  <c r="O67" i="11"/>
  <c r="O79" i="5"/>
  <c r="A80" i="5"/>
  <c r="S80" i="5" s="1"/>
  <c r="K79" i="5"/>
  <c r="M79" i="5"/>
  <c r="P79" i="5"/>
  <c r="C77" i="5"/>
  <c r="L79" i="5"/>
  <c r="S79" i="5"/>
  <c r="Q79" i="5"/>
  <c r="R79" i="5"/>
  <c r="T79" i="5"/>
  <c r="P74" i="12"/>
  <c r="I77" i="5"/>
  <c r="AI78" i="23" s="1"/>
  <c r="H77" i="5"/>
  <c r="D77" i="5"/>
  <c r="F77" i="5"/>
  <c r="AF78" i="23" s="1"/>
  <c r="AO77" i="9" s="1"/>
  <c r="J78" i="5"/>
  <c r="I78" i="5" s="1"/>
  <c r="AI79" i="23" s="1"/>
  <c r="G77" i="5"/>
  <c r="K75" i="12"/>
  <c r="B75" i="3"/>
  <c r="AC75" i="3"/>
  <c r="L73" i="9"/>
  <c r="N75" i="3"/>
  <c r="AQ68" i="9"/>
  <c r="AR68" i="9"/>
  <c r="V68" i="8"/>
  <c r="X68" i="8" s="1"/>
  <c r="Y68" i="8" s="1"/>
  <c r="AU68" i="9"/>
  <c r="BV68" i="9" s="1"/>
  <c r="BW68" i="9" s="1"/>
  <c r="O68" i="11" s="1"/>
  <c r="J68" i="8"/>
  <c r="R68" i="8" s="1"/>
  <c r="AF68" i="8" s="1"/>
  <c r="Z68" i="9" s="1"/>
  <c r="AC68" i="9" s="1"/>
  <c r="AT68" i="9" s="1"/>
  <c r="J72" i="12"/>
  <c r="BX69" i="9"/>
  <c r="BY69" i="9" s="1"/>
  <c r="S69" i="11" s="1"/>
  <c r="P69" i="11" s="1"/>
  <c r="T70" i="8"/>
  <c r="S70" i="8" s="1"/>
  <c r="AR69" i="9"/>
  <c r="V69" i="8"/>
  <c r="O72" i="3"/>
  <c r="J69" i="8"/>
  <c r="Q69" i="8" s="1"/>
  <c r="S77" i="6"/>
  <c r="Y78" i="6"/>
  <c r="W78" i="6"/>
  <c r="AC78" i="6"/>
  <c r="U78" i="6"/>
  <c r="Z78" i="6"/>
  <c r="V78" i="6"/>
  <c r="AB78" i="6"/>
  <c r="T78" i="6"/>
  <c r="AA78" i="6"/>
  <c r="X78" i="6"/>
  <c r="R76" i="6"/>
  <c r="AA77" i="17" s="1"/>
  <c r="Q76" i="6"/>
  <c r="AD77" i="17" s="1"/>
  <c r="AU69" i="9"/>
  <c r="BV69" i="9" s="1"/>
  <c r="BW69" i="9" s="1"/>
  <c r="O69" i="11" s="1"/>
  <c r="AA74" i="7"/>
  <c r="B73" i="9" s="1"/>
  <c r="V70" i="9"/>
  <c r="BA70" i="9" s="1"/>
  <c r="S70" i="9"/>
  <c r="K70" i="8" s="1"/>
  <c r="N70" i="8" s="1"/>
  <c r="O70" i="8" s="1"/>
  <c r="P70" i="8" s="1"/>
  <c r="U70" i="9"/>
  <c r="AZ70" i="9" s="1"/>
  <c r="BM70" i="9" s="1"/>
  <c r="AD74" i="7"/>
  <c r="AC74" i="7"/>
  <c r="T70" i="9"/>
  <c r="O72" i="12"/>
  <c r="B72" i="12" s="1"/>
  <c r="AH72" i="9"/>
  <c r="AM72" i="9" s="1"/>
  <c r="M72" i="12"/>
  <c r="AG72" i="9"/>
  <c r="P70" i="9"/>
  <c r="H72" i="3"/>
  <c r="M72" i="3" s="1"/>
  <c r="M72" i="9" s="1"/>
  <c r="T71" i="8"/>
  <c r="S71" i="8" s="1"/>
  <c r="L71" i="3"/>
  <c r="N71" i="9" s="1"/>
  <c r="M71" i="3"/>
  <c r="M71" i="9" s="1"/>
  <c r="K71" i="3"/>
  <c r="R71" i="3"/>
  <c r="AS71" i="3" s="1"/>
  <c r="L76" i="6"/>
  <c r="K76" i="6"/>
  <c r="J76" i="6"/>
  <c r="I76" i="6"/>
  <c r="F76" i="6"/>
  <c r="N76" i="6"/>
  <c r="E76" i="6"/>
  <c r="G76" i="6"/>
  <c r="M76" i="6"/>
  <c r="H76" i="6"/>
  <c r="D75" i="6"/>
  <c r="C74" i="6"/>
  <c r="B74" i="6"/>
  <c r="M77" i="8"/>
  <c r="AU77" i="3"/>
  <c r="AG67" i="8"/>
  <c r="Y67" i="9" s="1"/>
  <c r="AB67" i="9" s="1"/>
  <c r="AQ67" i="9" s="1"/>
  <c r="AS67" i="9" s="1"/>
  <c r="AH68" i="8"/>
  <c r="AA68" i="9" s="1"/>
  <c r="AD68" i="9" s="1"/>
  <c r="AX68" i="9" s="1"/>
  <c r="AH67" i="8"/>
  <c r="AA67" i="9" s="1"/>
  <c r="AD67" i="9" s="1"/>
  <c r="AX67" i="9" s="1"/>
  <c r="Q67" i="8"/>
  <c r="U67" i="3"/>
  <c r="X67" i="3" s="1"/>
  <c r="AO67" i="3" s="1"/>
  <c r="V67" i="3"/>
  <c r="Y67" i="3" s="1"/>
  <c r="AR67" i="3" s="1"/>
  <c r="BF67" i="3" s="1"/>
  <c r="BG67" i="3" s="1"/>
  <c r="W67" i="11" s="1"/>
  <c r="T67" i="3"/>
  <c r="W67" i="3" s="1"/>
  <c r="AL67" i="3" s="1"/>
  <c r="Z67" i="9"/>
  <c r="AC67" i="9" s="1"/>
  <c r="AT67" i="9" s="1"/>
  <c r="AV67" i="9" s="1"/>
  <c r="J73" i="3"/>
  <c r="I74" i="12"/>
  <c r="A80" i="12"/>
  <c r="H75" i="12"/>
  <c r="F75" i="9"/>
  <c r="K75" i="9" s="1"/>
  <c r="F75" i="3"/>
  <c r="K74" i="9"/>
  <c r="I74" i="3"/>
  <c r="A80" i="11"/>
  <c r="Z76" i="3"/>
  <c r="A79" i="8"/>
  <c r="AP79" i="8" l="1"/>
  <c r="AO79" i="8"/>
  <c r="AN79" i="8"/>
  <c r="AU79" i="8"/>
  <c r="AM79" i="8"/>
  <c r="AT79" i="8"/>
  <c r="AL79" i="8"/>
  <c r="AS79" i="8"/>
  <c r="AR79" i="8"/>
  <c r="AQ79" i="8"/>
  <c r="AV79" i="8"/>
  <c r="AW79" i="8"/>
  <c r="AX79" i="8"/>
  <c r="AY79" i="8"/>
  <c r="AZ79" i="8"/>
  <c r="BA79" i="8"/>
  <c r="BB79" i="8"/>
  <c r="BC79" i="8"/>
  <c r="BD79" i="8"/>
  <c r="BE79" i="8"/>
  <c r="BF79" i="8"/>
  <c r="AD76" i="3"/>
  <c r="G77" i="8"/>
  <c r="B77" i="8"/>
  <c r="AJ77" i="8" s="1"/>
  <c r="C77" i="8"/>
  <c r="D77" i="8" s="1"/>
  <c r="AK78" i="8"/>
  <c r="AH78" i="23"/>
  <c r="U77" i="12" s="1"/>
  <c r="BH66" i="3"/>
  <c r="BI66" i="3" s="1"/>
  <c r="AA66" i="11" s="1"/>
  <c r="H66" i="11" s="1"/>
  <c r="X69" i="8"/>
  <c r="Y69" i="8" s="1"/>
  <c r="AD69" i="8" s="1"/>
  <c r="T69" i="3" s="1"/>
  <c r="W69" i="3" s="1"/>
  <c r="AL69" i="3" s="1"/>
  <c r="AK74" i="3"/>
  <c r="AI75" i="3"/>
  <c r="AJ75" i="3"/>
  <c r="BT69" i="9"/>
  <c r="BU69" i="9" s="1"/>
  <c r="R69" i="11" s="1"/>
  <c r="BK69" i="9"/>
  <c r="BL69" i="9" s="1"/>
  <c r="BT68" i="9"/>
  <c r="BU68" i="9" s="1"/>
  <c r="R68" i="11" s="1"/>
  <c r="BK68" i="9"/>
  <c r="BL68" i="9" s="1"/>
  <c r="AL71" i="9"/>
  <c r="AJ72" i="9"/>
  <c r="AK72" i="9"/>
  <c r="AG78" i="23"/>
  <c r="BN70" i="9"/>
  <c r="BC70" i="9"/>
  <c r="BQ70" i="9" s="1"/>
  <c r="BR70" i="9" s="1"/>
  <c r="AZ70" i="3"/>
  <c r="BA70" i="3" s="1"/>
  <c r="Z70" i="11" s="1"/>
  <c r="BX70" i="9"/>
  <c r="BY70" i="9" s="1"/>
  <c r="S70" i="11" s="1"/>
  <c r="P70" i="11" s="1"/>
  <c r="AJ73" i="23"/>
  <c r="AK73" i="23" s="1"/>
  <c r="W72" i="9"/>
  <c r="BB72" i="9" s="1"/>
  <c r="H72" i="8"/>
  <c r="I72" i="8" s="1"/>
  <c r="O72" i="9"/>
  <c r="D72" i="11" s="1"/>
  <c r="W71" i="9"/>
  <c r="BB71" i="9" s="1"/>
  <c r="J73" i="9"/>
  <c r="H73" i="8" s="1"/>
  <c r="I73" i="8" s="1"/>
  <c r="Q73" i="9"/>
  <c r="AJ72" i="23"/>
  <c r="AK72" i="23" s="1"/>
  <c r="X71" i="9"/>
  <c r="L71" i="8" s="1"/>
  <c r="G77" i="12"/>
  <c r="AD77" i="3"/>
  <c r="R76" i="9"/>
  <c r="AC88" i="23"/>
  <c r="U89" i="23"/>
  <c r="A84" i="6"/>
  <c r="AB85" i="22"/>
  <c r="T86" i="22"/>
  <c r="U87" i="22"/>
  <c r="P86" i="6" s="1"/>
  <c r="AC86" i="22"/>
  <c r="P80" i="5"/>
  <c r="A81" i="5"/>
  <c r="L81" i="5" s="1"/>
  <c r="N80" i="5"/>
  <c r="R80" i="5"/>
  <c r="M80" i="5"/>
  <c r="Q80" i="5"/>
  <c r="O80" i="5"/>
  <c r="L80" i="5"/>
  <c r="K80" i="5"/>
  <c r="T80" i="5"/>
  <c r="J79" i="5"/>
  <c r="E79" i="5" s="1"/>
  <c r="AE80" i="23" s="1"/>
  <c r="B77" i="5"/>
  <c r="AD78" i="23" s="1"/>
  <c r="D78" i="5"/>
  <c r="N76" i="3"/>
  <c r="E78" i="5"/>
  <c r="AE79" i="23" s="1"/>
  <c r="G78" i="5"/>
  <c r="H78" i="5"/>
  <c r="F78" i="5"/>
  <c r="AF79" i="23" s="1"/>
  <c r="AO78" i="9" s="1"/>
  <c r="C78" i="5"/>
  <c r="AC76" i="3"/>
  <c r="K76" i="12"/>
  <c r="B76" i="3"/>
  <c r="P75" i="12"/>
  <c r="AS68" i="9"/>
  <c r="Q68" i="8"/>
  <c r="AD68" i="8"/>
  <c r="T68" i="3" s="1"/>
  <c r="W68" i="3" s="1"/>
  <c r="AL68" i="3" s="1"/>
  <c r="AN68" i="3" s="1"/>
  <c r="AA68" i="8"/>
  <c r="AC68" i="8" s="1"/>
  <c r="U68" i="3" s="1"/>
  <c r="X68" i="3" s="1"/>
  <c r="AO68" i="3" s="1"/>
  <c r="AV68" i="9"/>
  <c r="Z68" i="8"/>
  <c r="AE68" i="8" s="1"/>
  <c r="V68" i="3" s="1"/>
  <c r="Y68" i="3" s="1"/>
  <c r="AR68" i="3" s="1"/>
  <c r="BF68" i="3" s="1"/>
  <c r="BG68" i="3" s="1"/>
  <c r="W68" i="11" s="1"/>
  <c r="W70" i="8"/>
  <c r="Q72" i="3"/>
  <c r="P72" i="3"/>
  <c r="J73" i="12"/>
  <c r="Q73" i="3"/>
  <c r="AB79" i="6"/>
  <c r="Z79" i="6"/>
  <c r="AC79" i="6"/>
  <c r="Y79" i="6"/>
  <c r="X79" i="6"/>
  <c r="W79" i="6"/>
  <c r="V79" i="6"/>
  <c r="U79" i="6"/>
  <c r="T79" i="6"/>
  <c r="AA79" i="6"/>
  <c r="S78" i="6"/>
  <c r="R77" i="6"/>
  <c r="AA78" i="17" s="1"/>
  <c r="Q77" i="6"/>
  <c r="AD78" i="17" s="1"/>
  <c r="AA75" i="7"/>
  <c r="B74" i="9" s="1"/>
  <c r="V70" i="8"/>
  <c r="AR70" i="9"/>
  <c r="K72" i="3"/>
  <c r="AU70" i="9"/>
  <c r="BV70" i="9" s="1"/>
  <c r="BW70" i="9" s="1"/>
  <c r="O70" i="11" s="1"/>
  <c r="J70" i="8"/>
  <c r="M73" i="12"/>
  <c r="AG73" i="9"/>
  <c r="AD75" i="7"/>
  <c r="AC75" i="7"/>
  <c r="AH73" i="9"/>
  <c r="AM73" i="9" s="1"/>
  <c r="O73" i="12"/>
  <c r="B73" i="12" s="1"/>
  <c r="D76" i="6"/>
  <c r="C75" i="6"/>
  <c r="B75" i="6"/>
  <c r="T71" i="9"/>
  <c r="W71" i="8" s="1"/>
  <c r="V71" i="9"/>
  <c r="BA71" i="9" s="1"/>
  <c r="O71" i="9"/>
  <c r="D71" i="11" s="1"/>
  <c r="S71" i="9"/>
  <c r="K71" i="8" s="1"/>
  <c r="N71" i="8" s="1"/>
  <c r="O71" i="8" s="1"/>
  <c r="P71" i="8" s="1"/>
  <c r="U71" i="9"/>
  <c r="AZ71" i="9" s="1"/>
  <c r="BM71" i="9" s="1"/>
  <c r="H77" i="6"/>
  <c r="J77" i="6"/>
  <c r="E77" i="6"/>
  <c r="F77" i="6"/>
  <c r="L77" i="6"/>
  <c r="N77" i="6"/>
  <c r="G77" i="6"/>
  <c r="K77" i="6"/>
  <c r="I77" i="6"/>
  <c r="M77" i="6"/>
  <c r="P71" i="9"/>
  <c r="R72" i="3"/>
  <c r="AS72" i="3" s="1"/>
  <c r="L72" i="3"/>
  <c r="N72" i="9" s="1"/>
  <c r="M78" i="8"/>
  <c r="AU78" i="3"/>
  <c r="AN67" i="3"/>
  <c r="AX67" i="3"/>
  <c r="BB67" i="3"/>
  <c r="BC67" i="3" s="1"/>
  <c r="X67" i="11" s="1"/>
  <c r="AI67" i="8"/>
  <c r="Q67" i="12" s="1"/>
  <c r="AI68" i="8"/>
  <c r="Q68" i="12" s="1"/>
  <c r="AH69" i="8"/>
  <c r="AA69" i="9" s="1"/>
  <c r="AD69" i="9" s="1"/>
  <c r="AX69" i="9" s="1"/>
  <c r="R69" i="8"/>
  <c r="AF69" i="8" s="1"/>
  <c r="Z69" i="9" s="1"/>
  <c r="AC69" i="9" s="1"/>
  <c r="AT69" i="9" s="1"/>
  <c r="AV69" i="9" s="1"/>
  <c r="AG69" i="8"/>
  <c r="Y69" i="9" s="1"/>
  <c r="AB69" i="9" s="1"/>
  <c r="AQ69" i="9" s="1"/>
  <c r="AS69" i="9" s="1"/>
  <c r="AH70" i="8"/>
  <c r="AA70" i="9" s="1"/>
  <c r="AD70" i="9" s="1"/>
  <c r="AX70" i="9" s="1"/>
  <c r="V72" i="9"/>
  <c r="BA72" i="9" s="1"/>
  <c r="BI68" i="9"/>
  <c r="BJ68" i="9" s="1"/>
  <c r="BI67" i="9"/>
  <c r="BJ67" i="9" s="1"/>
  <c r="S72" i="9"/>
  <c r="T72" i="9"/>
  <c r="U72" i="9"/>
  <c r="AZ72" i="9" s="1"/>
  <c r="BM72" i="9" s="1"/>
  <c r="L75" i="9"/>
  <c r="L74" i="9"/>
  <c r="J74" i="3"/>
  <c r="I75" i="12"/>
  <c r="A81" i="12"/>
  <c r="H76" i="12"/>
  <c r="F76" i="9"/>
  <c r="K76" i="9" s="1"/>
  <c r="F76" i="3"/>
  <c r="I76" i="3" s="1"/>
  <c r="I75" i="3"/>
  <c r="A81" i="11"/>
  <c r="Z77" i="3"/>
  <c r="A80" i="8"/>
  <c r="AN80" i="8" l="1"/>
  <c r="AU80" i="8"/>
  <c r="AM80" i="8"/>
  <c r="AT80" i="8"/>
  <c r="AL80" i="8"/>
  <c r="AS80" i="8"/>
  <c r="AR80" i="8"/>
  <c r="AQ80" i="8"/>
  <c r="AP80" i="8"/>
  <c r="AO80" i="8"/>
  <c r="AV80" i="8"/>
  <c r="AW80" i="8"/>
  <c r="AX80" i="8"/>
  <c r="AY80" i="8"/>
  <c r="AZ80" i="8"/>
  <c r="BA80" i="8"/>
  <c r="BB80" i="8"/>
  <c r="BC80" i="8"/>
  <c r="BD80" i="8"/>
  <c r="BE80" i="8"/>
  <c r="BF80" i="8"/>
  <c r="AK79" i="8"/>
  <c r="C78" i="8"/>
  <c r="D78" i="8" s="1"/>
  <c r="B78" i="8"/>
  <c r="AJ78" i="8" s="1"/>
  <c r="G78" i="8"/>
  <c r="AH79" i="23"/>
  <c r="U78" i="12" s="1"/>
  <c r="Z69" i="8"/>
  <c r="AE69" i="8" s="1"/>
  <c r="V69" i="3" s="1"/>
  <c r="Y69" i="3" s="1"/>
  <c r="AR69" i="3" s="1"/>
  <c r="BF69" i="3" s="1"/>
  <c r="BG69" i="3" s="1"/>
  <c r="W69" i="11" s="1"/>
  <c r="AA69" i="8"/>
  <c r="AC69" i="8" s="1"/>
  <c r="U69" i="3" s="1"/>
  <c r="X69" i="3" s="1"/>
  <c r="AO69" i="3" s="1"/>
  <c r="BB69" i="3" s="1"/>
  <c r="BC69" i="3" s="1"/>
  <c r="X69" i="11" s="1"/>
  <c r="AK75" i="3"/>
  <c r="T72" i="8"/>
  <c r="S72" i="8" s="1"/>
  <c r="AM72" i="3"/>
  <c r="BX72" i="9" s="1"/>
  <c r="BY72" i="9" s="1"/>
  <c r="S72" i="11" s="1"/>
  <c r="P72" i="11" s="1"/>
  <c r="AI76" i="3"/>
  <c r="AJ76" i="3"/>
  <c r="AY67" i="3"/>
  <c r="V67" i="11" s="1"/>
  <c r="BH67" i="3"/>
  <c r="BI67" i="3" s="1"/>
  <c r="AA67" i="11" s="1"/>
  <c r="H67" i="11" s="1"/>
  <c r="BT70" i="9"/>
  <c r="BU70" i="9" s="1"/>
  <c r="R70" i="11" s="1"/>
  <c r="BK70" i="9"/>
  <c r="BL70" i="9" s="1"/>
  <c r="AK73" i="9"/>
  <c r="AJ73" i="9"/>
  <c r="AL72" i="9"/>
  <c r="AU72" i="9" s="1"/>
  <c r="BV72" i="9" s="1"/>
  <c r="BW72" i="9" s="1"/>
  <c r="O72" i="11" s="1"/>
  <c r="AG79" i="23"/>
  <c r="BC72" i="9"/>
  <c r="BQ72" i="9" s="1"/>
  <c r="BR72" i="9" s="1"/>
  <c r="BX71" i="9"/>
  <c r="BY71" i="9" s="1"/>
  <c r="S71" i="11" s="1"/>
  <c r="P71" i="11" s="1"/>
  <c r="AZ71" i="3"/>
  <c r="BA71" i="3" s="1"/>
  <c r="Z71" i="11" s="1"/>
  <c r="X73" i="9"/>
  <c r="L73" i="8" s="1"/>
  <c r="AJ74" i="23"/>
  <c r="AK74" i="23" s="1"/>
  <c r="W73" i="9"/>
  <c r="BB73" i="9" s="1"/>
  <c r="BC71" i="9"/>
  <c r="BQ71" i="9" s="1"/>
  <c r="BR71" i="9" s="1"/>
  <c r="J74" i="9"/>
  <c r="AJ75" i="23" s="1"/>
  <c r="AK75" i="23" s="1"/>
  <c r="Q74" i="9"/>
  <c r="E77" i="12"/>
  <c r="G77" i="3"/>
  <c r="N77" i="3" s="1"/>
  <c r="G77" i="9"/>
  <c r="E78" i="9"/>
  <c r="F78" i="12"/>
  <c r="E78" i="3"/>
  <c r="G78" i="12"/>
  <c r="E79" i="3"/>
  <c r="F79" i="12"/>
  <c r="E79" i="9"/>
  <c r="AD78" i="3"/>
  <c r="AC89" i="23"/>
  <c r="U90" i="23"/>
  <c r="A85" i="6"/>
  <c r="AB86" i="22"/>
  <c r="T87" i="22"/>
  <c r="U88" i="22"/>
  <c r="P87" i="6" s="1"/>
  <c r="AC87" i="22"/>
  <c r="T81" i="5"/>
  <c r="H79" i="5"/>
  <c r="Q81" i="5"/>
  <c r="R81" i="5"/>
  <c r="P81" i="5"/>
  <c r="A82" i="5"/>
  <c r="O82" i="5" s="1"/>
  <c r="S81" i="5"/>
  <c r="N81" i="5"/>
  <c r="K81" i="5"/>
  <c r="M81" i="5"/>
  <c r="O81" i="5"/>
  <c r="I79" i="5"/>
  <c r="AI80" i="23" s="1"/>
  <c r="G79" i="5"/>
  <c r="J80" i="5"/>
  <c r="E80" i="5" s="1"/>
  <c r="AE81" i="23" s="1"/>
  <c r="F79" i="5"/>
  <c r="AF80" i="23" s="1"/>
  <c r="AO79" i="9" s="1"/>
  <c r="C79" i="5"/>
  <c r="D79" i="5"/>
  <c r="B78" i="5"/>
  <c r="AD79" i="23" s="1"/>
  <c r="AX68" i="3"/>
  <c r="P76" i="12"/>
  <c r="B77" i="3"/>
  <c r="K77" i="12"/>
  <c r="AC77" i="3"/>
  <c r="BB68" i="3"/>
  <c r="BC68" i="3" s="1"/>
  <c r="X68" i="11" s="1"/>
  <c r="X70" i="8"/>
  <c r="Y70" i="8" s="1"/>
  <c r="AD70" i="8" s="1"/>
  <c r="T70" i="3" s="1"/>
  <c r="W70" i="3" s="1"/>
  <c r="AL70" i="3" s="1"/>
  <c r="S79" i="6"/>
  <c r="Q79" i="6" s="1"/>
  <c r="AD80" i="17" s="1"/>
  <c r="O73" i="3"/>
  <c r="P73" i="3"/>
  <c r="H73" i="3"/>
  <c r="K73" i="3" s="1"/>
  <c r="Q78" i="6"/>
  <c r="AD79" i="17" s="1"/>
  <c r="R78" i="6"/>
  <c r="AA79" i="17" s="1"/>
  <c r="Y80" i="6"/>
  <c r="AC80" i="6"/>
  <c r="T80" i="6"/>
  <c r="Z80" i="6"/>
  <c r="AA80" i="6"/>
  <c r="X80" i="6"/>
  <c r="V80" i="6"/>
  <c r="AB80" i="6"/>
  <c r="W80" i="6"/>
  <c r="U80" i="6"/>
  <c r="J74" i="12"/>
  <c r="O74" i="3"/>
  <c r="AA76" i="7"/>
  <c r="B75" i="9" s="1"/>
  <c r="AC76" i="7"/>
  <c r="AD76" i="7"/>
  <c r="O74" i="12"/>
  <c r="B74" i="12" s="1"/>
  <c r="AH74" i="9"/>
  <c r="AM74" i="9" s="1"/>
  <c r="AG74" i="9"/>
  <c r="M74" i="12"/>
  <c r="V71" i="8"/>
  <c r="X71" i="8" s="1"/>
  <c r="Y71" i="8" s="1"/>
  <c r="AA71" i="8" s="1"/>
  <c r="AC71" i="8" s="1"/>
  <c r="AR71" i="9"/>
  <c r="H78" i="6"/>
  <c r="G78" i="6"/>
  <c r="E78" i="6"/>
  <c r="F78" i="6"/>
  <c r="J78" i="6"/>
  <c r="K78" i="6"/>
  <c r="I78" i="6"/>
  <c r="L78" i="6"/>
  <c r="N78" i="6"/>
  <c r="M78" i="6"/>
  <c r="B76" i="6"/>
  <c r="C76" i="6"/>
  <c r="J71" i="8"/>
  <c r="Q71" i="8" s="1"/>
  <c r="AU71" i="9"/>
  <c r="BV71" i="9" s="1"/>
  <c r="BW71" i="9" s="1"/>
  <c r="O71" i="11" s="1"/>
  <c r="BN71" i="9"/>
  <c r="P72" i="9"/>
  <c r="AR72" i="9"/>
  <c r="D77" i="6"/>
  <c r="M79" i="8"/>
  <c r="AU79" i="3"/>
  <c r="AN69" i="3"/>
  <c r="AX69" i="3"/>
  <c r="Q70" i="8"/>
  <c r="AI69" i="8"/>
  <c r="Q69" i="12" s="1"/>
  <c r="AG70" i="8"/>
  <c r="Y70" i="9" s="1"/>
  <c r="AB70" i="9" s="1"/>
  <c r="AQ70" i="9" s="1"/>
  <c r="AS70" i="9" s="1"/>
  <c r="R70" i="8"/>
  <c r="AF70" i="8" s="1"/>
  <c r="Z70" i="9" s="1"/>
  <c r="AC70" i="9" s="1"/>
  <c r="AT70" i="9" s="1"/>
  <c r="AV70" i="9" s="1"/>
  <c r="BI69" i="9"/>
  <c r="BJ69" i="9" s="1"/>
  <c r="BN72" i="9"/>
  <c r="K72" i="8"/>
  <c r="N72" i="8" s="1"/>
  <c r="O72" i="8" s="1"/>
  <c r="P72" i="8" s="1"/>
  <c r="J76" i="3"/>
  <c r="J75" i="3"/>
  <c r="I76" i="12"/>
  <c r="A82" i="12"/>
  <c r="H77" i="12"/>
  <c r="L76" i="9"/>
  <c r="F77" i="9"/>
  <c r="F77" i="3"/>
  <c r="A82" i="11"/>
  <c r="Z78" i="3"/>
  <c r="A81" i="8"/>
  <c r="G79" i="8" l="1"/>
  <c r="B79" i="8"/>
  <c r="AJ79" i="8" s="1"/>
  <c r="C79" i="8"/>
  <c r="D79" i="8" s="1"/>
  <c r="AK80" i="8"/>
  <c r="AT81" i="8"/>
  <c r="AL81" i="8"/>
  <c r="AS81" i="8"/>
  <c r="AR81" i="8"/>
  <c r="AQ81" i="8"/>
  <c r="AP81" i="8"/>
  <c r="AO81" i="8"/>
  <c r="AN81" i="8"/>
  <c r="AU81" i="8"/>
  <c r="AM81" i="8"/>
  <c r="AV81" i="8"/>
  <c r="AW81" i="8"/>
  <c r="AX81" i="8"/>
  <c r="AY81" i="8"/>
  <c r="AZ81" i="8"/>
  <c r="BA81" i="8"/>
  <c r="BB81" i="8"/>
  <c r="BC81" i="8"/>
  <c r="BD81" i="8"/>
  <c r="BE81" i="8"/>
  <c r="BF81" i="8"/>
  <c r="AH80" i="23"/>
  <c r="U79" i="12" s="1"/>
  <c r="W72" i="8"/>
  <c r="T73" i="8"/>
  <c r="S73" i="8" s="1"/>
  <c r="AM73" i="3"/>
  <c r="BX73" i="9" s="1"/>
  <c r="AK76" i="3"/>
  <c r="AI77" i="3"/>
  <c r="AJ77" i="3"/>
  <c r="BK71" i="9"/>
  <c r="BL71" i="9" s="1"/>
  <c r="AY68" i="3"/>
  <c r="V68" i="11" s="1"/>
  <c r="BH68" i="3"/>
  <c r="BI68" i="3" s="1"/>
  <c r="AA68" i="11" s="1"/>
  <c r="H68" i="11" s="1"/>
  <c r="BT72" i="9"/>
  <c r="BU72" i="9" s="1"/>
  <c r="R72" i="11" s="1"/>
  <c r="BK72" i="9"/>
  <c r="BL72" i="9" s="1"/>
  <c r="AY69" i="3"/>
  <c r="V69" i="11" s="1"/>
  <c r="BH69" i="3"/>
  <c r="BI69" i="3" s="1"/>
  <c r="AA69" i="11" s="1"/>
  <c r="H69" i="11" s="1"/>
  <c r="AK74" i="9"/>
  <c r="AJ74" i="9"/>
  <c r="AL73" i="9"/>
  <c r="AG80" i="23"/>
  <c r="X74" i="9"/>
  <c r="L74" i="8" s="1"/>
  <c r="H74" i="8"/>
  <c r="I74" i="8" s="1"/>
  <c r="W74" i="9"/>
  <c r="BB74" i="9" s="1"/>
  <c r="J75" i="9"/>
  <c r="AJ76" i="23" s="1"/>
  <c r="AK76" i="23" s="1"/>
  <c r="Q75" i="9"/>
  <c r="AD79" i="3"/>
  <c r="G78" i="3"/>
  <c r="N78" i="3" s="1"/>
  <c r="E78" i="12"/>
  <c r="G78" i="9"/>
  <c r="G79" i="12"/>
  <c r="E80" i="9"/>
  <c r="E80" i="3"/>
  <c r="F80" i="12"/>
  <c r="R77" i="9"/>
  <c r="A86" i="6"/>
  <c r="AB87" i="22"/>
  <c r="T88" i="22"/>
  <c r="AC90" i="23"/>
  <c r="U91" i="23"/>
  <c r="M82" i="5"/>
  <c r="K82" i="5"/>
  <c r="U89" i="22"/>
  <c r="P88" i="6" s="1"/>
  <c r="AC88" i="22"/>
  <c r="S82" i="5"/>
  <c r="Q82" i="5"/>
  <c r="N82" i="5"/>
  <c r="P82" i="5"/>
  <c r="L82" i="5"/>
  <c r="R82" i="5"/>
  <c r="J81" i="5"/>
  <c r="E81" i="5" s="1"/>
  <c r="AE82" i="23" s="1"/>
  <c r="T82" i="5"/>
  <c r="A83" i="5"/>
  <c r="T83" i="5" s="1"/>
  <c r="F80" i="5"/>
  <c r="AF81" i="23" s="1"/>
  <c r="AO80" i="9" s="1"/>
  <c r="H80" i="5"/>
  <c r="K77" i="9"/>
  <c r="L77" i="9" s="1"/>
  <c r="G80" i="5"/>
  <c r="C80" i="5"/>
  <c r="I80" i="5"/>
  <c r="AI81" i="23" s="1"/>
  <c r="D80" i="5"/>
  <c r="B79" i="5"/>
  <c r="AD80" i="23" s="1"/>
  <c r="P78" i="12"/>
  <c r="P77" i="12"/>
  <c r="K78" i="12"/>
  <c r="B78" i="3"/>
  <c r="P79" i="12"/>
  <c r="AA70" i="8"/>
  <c r="AC70" i="8" s="1"/>
  <c r="U70" i="3" s="1"/>
  <c r="X70" i="3" s="1"/>
  <c r="AO70" i="3" s="1"/>
  <c r="Z70" i="8"/>
  <c r="AE70" i="8" s="1"/>
  <c r="V70" i="3" s="1"/>
  <c r="Y70" i="3" s="1"/>
  <c r="AR70" i="3" s="1"/>
  <c r="BF70" i="3" s="1"/>
  <c r="BG70" i="3" s="1"/>
  <c r="W70" i="11" s="1"/>
  <c r="R79" i="6"/>
  <c r="AA80" i="17" s="1"/>
  <c r="AZ72" i="3"/>
  <c r="BA72" i="3" s="1"/>
  <c r="Z72" i="11" s="1"/>
  <c r="S80" i="6"/>
  <c r="Q80" i="6" s="1"/>
  <c r="AD81" i="17" s="1"/>
  <c r="R73" i="3"/>
  <c r="AS73" i="3" s="1"/>
  <c r="M73" i="3"/>
  <c r="M73" i="9" s="1"/>
  <c r="O73" i="9" s="1"/>
  <c r="D73" i="11" s="1"/>
  <c r="L73" i="3"/>
  <c r="N73" i="9" s="1"/>
  <c r="P74" i="3"/>
  <c r="H74" i="3"/>
  <c r="M74" i="3" s="1"/>
  <c r="M74" i="9" s="1"/>
  <c r="O74" i="9" s="1"/>
  <c r="D74" i="11" s="1"/>
  <c r="Q74" i="3"/>
  <c r="T81" i="6"/>
  <c r="AC81" i="6"/>
  <c r="Y81" i="6"/>
  <c r="AB81" i="6"/>
  <c r="V81" i="6"/>
  <c r="X81" i="6"/>
  <c r="AA81" i="6"/>
  <c r="Z81" i="6"/>
  <c r="W81" i="6"/>
  <c r="U81" i="6"/>
  <c r="AA77" i="7"/>
  <c r="B76" i="9" s="1"/>
  <c r="J75" i="12"/>
  <c r="Q75" i="3"/>
  <c r="AD77" i="7"/>
  <c r="AC77" i="7"/>
  <c r="O75" i="12"/>
  <c r="B75" i="12" s="1"/>
  <c r="AH75" i="9"/>
  <c r="AM75" i="9" s="1"/>
  <c r="AG75" i="9"/>
  <c r="M75" i="12"/>
  <c r="AD71" i="8"/>
  <c r="T71" i="3" s="1"/>
  <c r="W71" i="3" s="1"/>
  <c r="AL71" i="3" s="1"/>
  <c r="C77" i="6"/>
  <c r="B77" i="6"/>
  <c r="H79" i="6"/>
  <c r="F79" i="6"/>
  <c r="L79" i="6"/>
  <c r="K79" i="6"/>
  <c r="M79" i="6"/>
  <c r="G79" i="6"/>
  <c r="J79" i="6"/>
  <c r="N79" i="6"/>
  <c r="I79" i="6"/>
  <c r="E79" i="6"/>
  <c r="Z71" i="8"/>
  <c r="AE71" i="8" s="1"/>
  <c r="V71" i="3" s="1"/>
  <c r="Y71" i="3" s="1"/>
  <c r="AR71" i="3" s="1"/>
  <c r="BF71" i="3" s="1"/>
  <c r="BG71" i="3" s="1"/>
  <c r="W71" i="11" s="1"/>
  <c r="D78" i="6"/>
  <c r="BT71" i="9"/>
  <c r="M80" i="8"/>
  <c r="AU80" i="3"/>
  <c r="AN70" i="3"/>
  <c r="AX70" i="3"/>
  <c r="AG71" i="8"/>
  <c r="Y71" i="9" s="1"/>
  <c r="AB71" i="9" s="1"/>
  <c r="AQ71" i="9" s="1"/>
  <c r="AS71" i="9" s="1"/>
  <c r="AH71" i="8"/>
  <c r="AA71" i="9" s="1"/>
  <c r="AD71" i="9" s="1"/>
  <c r="AX71" i="9" s="1"/>
  <c r="R71" i="8"/>
  <c r="AF71" i="8" s="1"/>
  <c r="Z71" i="9" s="1"/>
  <c r="AC71" i="9" s="1"/>
  <c r="AT71" i="9" s="1"/>
  <c r="AV71" i="9" s="1"/>
  <c r="U71" i="3"/>
  <c r="X71" i="3" s="1"/>
  <c r="AO71" i="3" s="1"/>
  <c r="AI70" i="8"/>
  <c r="Q70" i="12" s="1"/>
  <c r="BI70" i="9"/>
  <c r="BJ70" i="9" s="1"/>
  <c r="V72" i="8"/>
  <c r="J72" i="8"/>
  <c r="A83" i="12"/>
  <c r="I77" i="12"/>
  <c r="H78" i="12"/>
  <c r="I77" i="3"/>
  <c r="F78" i="9"/>
  <c r="F78" i="3"/>
  <c r="A83" i="11"/>
  <c r="Z79" i="3"/>
  <c r="A82" i="8"/>
  <c r="AR82" i="8" l="1"/>
  <c r="AQ82" i="8"/>
  <c r="AP82" i="8"/>
  <c r="AO82" i="8"/>
  <c r="AN82" i="8"/>
  <c r="AU82" i="8"/>
  <c r="AM82" i="8"/>
  <c r="AT82" i="8"/>
  <c r="AL82" i="8"/>
  <c r="AS82" i="8"/>
  <c r="AV82" i="8"/>
  <c r="AW82" i="8"/>
  <c r="AX82" i="8"/>
  <c r="AY82" i="8"/>
  <c r="AZ82" i="8"/>
  <c r="BA82" i="8"/>
  <c r="BB82" i="8"/>
  <c r="BC82" i="8"/>
  <c r="BD82" i="8"/>
  <c r="BE82" i="8"/>
  <c r="BF82" i="8"/>
  <c r="C80" i="8"/>
  <c r="D80" i="8" s="1"/>
  <c r="B80" i="8"/>
  <c r="AJ80" i="8" s="1"/>
  <c r="G80" i="8"/>
  <c r="AK81" i="8"/>
  <c r="X72" i="8"/>
  <c r="Y72" i="8" s="1"/>
  <c r="AD72" i="8" s="1"/>
  <c r="AH81" i="23"/>
  <c r="U80" i="12" s="1"/>
  <c r="T74" i="8"/>
  <c r="S74" i="8" s="1"/>
  <c r="AM74" i="3"/>
  <c r="AZ74" i="3" s="1"/>
  <c r="BA74" i="3" s="1"/>
  <c r="Z74" i="11" s="1"/>
  <c r="AK77" i="3"/>
  <c r="AJ78" i="3"/>
  <c r="AY70" i="3"/>
  <c r="V70" i="11" s="1"/>
  <c r="AL74" i="9"/>
  <c r="AJ75" i="9"/>
  <c r="AK75" i="9"/>
  <c r="P83" i="5"/>
  <c r="AG81" i="23"/>
  <c r="H75" i="8"/>
  <c r="I75" i="8" s="1"/>
  <c r="X75" i="9"/>
  <c r="L75" i="8" s="1"/>
  <c r="W75" i="9"/>
  <c r="BB75" i="9" s="1"/>
  <c r="J76" i="9"/>
  <c r="AJ77" i="23" s="1"/>
  <c r="AK77" i="23" s="1"/>
  <c r="Q76" i="9"/>
  <c r="E79" i="12"/>
  <c r="G79" i="9"/>
  <c r="G79" i="3"/>
  <c r="N79" i="3" s="1"/>
  <c r="G80" i="12"/>
  <c r="E81" i="3"/>
  <c r="F81" i="12"/>
  <c r="E81" i="9"/>
  <c r="R78" i="9"/>
  <c r="AC91" i="23"/>
  <c r="U92" i="23"/>
  <c r="A87" i="6"/>
  <c r="AB88" i="22"/>
  <c r="T89" i="22"/>
  <c r="H81" i="5"/>
  <c r="F81" i="5"/>
  <c r="AF82" i="23" s="1"/>
  <c r="AO81" i="9" s="1"/>
  <c r="L83" i="5"/>
  <c r="J82" i="5"/>
  <c r="C82" i="5" s="1"/>
  <c r="U90" i="22"/>
  <c r="P89" i="6" s="1"/>
  <c r="AC89" i="22"/>
  <c r="C81" i="5"/>
  <c r="G81" i="5"/>
  <c r="D81" i="5"/>
  <c r="Q83" i="5"/>
  <c r="R83" i="5"/>
  <c r="N83" i="5"/>
  <c r="O83" i="5"/>
  <c r="I81" i="5"/>
  <c r="AI82" i="23" s="1"/>
  <c r="S83" i="5"/>
  <c r="A84" i="5"/>
  <c r="L84" i="5" s="1"/>
  <c r="K83" i="5"/>
  <c r="M83" i="5"/>
  <c r="B80" i="5"/>
  <c r="AD81" i="23" s="1"/>
  <c r="K78" i="9"/>
  <c r="L78" i="9" s="1"/>
  <c r="BB70" i="3"/>
  <c r="BC70" i="3" s="1"/>
  <c r="X70" i="11" s="1"/>
  <c r="AC78" i="3"/>
  <c r="AI78" i="3" s="1"/>
  <c r="AC79" i="3"/>
  <c r="B79" i="3"/>
  <c r="K79" i="12"/>
  <c r="AC80" i="3"/>
  <c r="R80" i="6"/>
  <c r="AA81" i="17" s="1"/>
  <c r="U74" i="9"/>
  <c r="AZ74" i="9" s="1"/>
  <c r="BM74" i="9" s="1"/>
  <c r="BN74" i="9" s="1"/>
  <c r="AZ73" i="3"/>
  <c r="BA73" i="3" s="1"/>
  <c r="Z73" i="11" s="1"/>
  <c r="BY73" i="9"/>
  <c r="S73" i="11" s="1"/>
  <c r="P73" i="11" s="1"/>
  <c r="U73" i="9"/>
  <c r="AZ73" i="9" s="1"/>
  <c r="BM73" i="9" s="1"/>
  <c r="BN73" i="9" s="1"/>
  <c r="K74" i="3"/>
  <c r="V73" i="9"/>
  <c r="BA73" i="9" s="1"/>
  <c r="BC73" i="9" s="1"/>
  <c r="BQ73" i="9" s="1"/>
  <c r="BR73" i="9" s="1"/>
  <c r="T73" i="9"/>
  <c r="W73" i="8" s="1"/>
  <c r="S73" i="9"/>
  <c r="K73" i="8" s="1"/>
  <c r="N73" i="8" s="1"/>
  <c r="O73" i="8" s="1"/>
  <c r="P73" i="8" s="1"/>
  <c r="AH73" i="8" s="1"/>
  <c r="AA73" i="9" s="1"/>
  <c r="AD73" i="9" s="1"/>
  <c r="AX73" i="9" s="1"/>
  <c r="P73" i="9"/>
  <c r="T74" i="9"/>
  <c r="V74" i="9"/>
  <c r="BA74" i="9" s="1"/>
  <c r="BC74" i="9" s="1"/>
  <c r="BQ74" i="9" s="1"/>
  <c r="BR74" i="9" s="1"/>
  <c r="R74" i="3"/>
  <c r="AS74" i="3" s="1"/>
  <c r="S74" i="9"/>
  <c r="K74" i="8" s="1"/>
  <c r="N74" i="8" s="1"/>
  <c r="O74" i="8" s="1"/>
  <c r="P74" i="8" s="1"/>
  <c r="L74" i="3"/>
  <c r="N74" i="9" s="1"/>
  <c r="P74" i="9" s="1"/>
  <c r="S81" i="6"/>
  <c r="O76" i="3"/>
  <c r="X82" i="6"/>
  <c r="AC82" i="6"/>
  <c r="AB82" i="6"/>
  <c r="W82" i="6"/>
  <c r="U82" i="6"/>
  <c r="Z82" i="6"/>
  <c r="AA82" i="6"/>
  <c r="Y82" i="6"/>
  <c r="T82" i="6"/>
  <c r="V82" i="6"/>
  <c r="P75" i="3"/>
  <c r="AM75" i="3" s="1"/>
  <c r="H75" i="3"/>
  <c r="J76" i="12"/>
  <c r="O75" i="3"/>
  <c r="AA78" i="7"/>
  <c r="B77" i="9" s="1"/>
  <c r="M76" i="12"/>
  <c r="AG76" i="9"/>
  <c r="AC78" i="7"/>
  <c r="AD78" i="7"/>
  <c r="AH76" i="9"/>
  <c r="AM76" i="9" s="1"/>
  <c r="O76" i="12"/>
  <c r="B76" i="12" s="1"/>
  <c r="E80" i="6"/>
  <c r="M80" i="6"/>
  <c r="H80" i="6"/>
  <c r="L80" i="6"/>
  <c r="N80" i="6"/>
  <c r="G80" i="6"/>
  <c r="F80" i="6"/>
  <c r="I80" i="6"/>
  <c r="J80" i="6"/>
  <c r="K80" i="6"/>
  <c r="BU71" i="9"/>
  <c r="R71" i="11" s="1"/>
  <c r="D79" i="6"/>
  <c r="B78" i="6"/>
  <c r="C78" i="6"/>
  <c r="M81" i="8"/>
  <c r="AU81" i="3"/>
  <c r="BB71" i="3"/>
  <c r="BC71" i="3" s="1"/>
  <c r="X71" i="11" s="1"/>
  <c r="AN71" i="3"/>
  <c r="AX71" i="3"/>
  <c r="AI71" i="8"/>
  <c r="Q71" i="12" s="1"/>
  <c r="AH72" i="8"/>
  <c r="AA72" i="9" s="1"/>
  <c r="AD72" i="9" s="1"/>
  <c r="AX72" i="9" s="1"/>
  <c r="BI71" i="9"/>
  <c r="BJ71" i="9" s="1"/>
  <c r="J77" i="3"/>
  <c r="I78" i="12"/>
  <c r="A84" i="12"/>
  <c r="H79" i="12"/>
  <c r="I78" i="3"/>
  <c r="F79" i="9"/>
  <c r="F79" i="3"/>
  <c r="A84" i="11"/>
  <c r="Z80" i="3"/>
  <c r="A83" i="8"/>
  <c r="AK82" i="8" l="1"/>
  <c r="AP83" i="8"/>
  <c r="AO83" i="8"/>
  <c r="AN83" i="8"/>
  <c r="AU83" i="8"/>
  <c r="AM83" i="8"/>
  <c r="AT83" i="8"/>
  <c r="AL83" i="8"/>
  <c r="AS83" i="8"/>
  <c r="AR83" i="8"/>
  <c r="AQ83" i="8"/>
  <c r="AV83" i="8"/>
  <c r="AW83" i="8"/>
  <c r="AX83" i="8"/>
  <c r="AY83" i="8"/>
  <c r="AZ83" i="8"/>
  <c r="BA83" i="8"/>
  <c r="BB83" i="8"/>
  <c r="BC83" i="8"/>
  <c r="BD83" i="8"/>
  <c r="BE83" i="8"/>
  <c r="BF83" i="8"/>
  <c r="B81" i="8"/>
  <c r="AJ81" i="8" s="1"/>
  <c r="G81" i="8"/>
  <c r="C81" i="8"/>
  <c r="D81" i="8" s="1"/>
  <c r="AD80" i="3"/>
  <c r="AA72" i="8"/>
  <c r="AC72" i="8" s="1"/>
  <c r="U72" i="3" s="1"/>
  <c r="X72" i="3" s="1"/>
  <c r="AO72" i="3" s="1"/>
  <c r="Z72" i="8"/>
  <c r="AE72" i="8" s="1"/>
  <c r="V72" i="3" s="1"/>
  <c r="Y72" i="3" s="1"/>
  <c r="AR72" i="3" s="1"/>
  <c r="BF72" i="3" s="1"/>
  <c r="BG72" i="3" s="1"/>
  <c r="W72" i="11" s="1"/>
  <c r="AH82" i="23"/>
  <c r="U81" i="12" s="1"/>
  <c r="W74" i="8"/>
  <c r="AK78" i="3"/>
  <c r="AI79" i="3"/>
  <c r="AJ79" i="3"/>
  <c r="AY71" i="3"/>
  <c r="V71" i="11" s="1"/>
  <c r="BH71" i="3"/>
  <c r="BI71" i="3" s="1"/>
  <c r="AA71" i="11" s="1"/>
  <c r="H71" i="11" s="1"/>
  <c r="BH70" i="3"/>
  <c r="BI70" i="3" s="1"/>
  <c r="AA70" i="11" s="1"/>
  <c r="H70" i="11" s="1"/>
  <c r="AK76" i="9"/>
  <c r="AJ76" i="9"/>
  <c r="AL75" i="9"/>
  <c r="D82" i="5"/>
  <c r="B82" i="5" s="1"/>
  <c r="AD83" i="23" s="1"/>
  <c r="I82" i="5"/>
  <c r="AI83" i="23" s="1"/>
  <c r="H82" i="5"/>
  <c r="AG82" i="23"/>
  <c r="X76" i="9"/>
  <c r="L76" i="8" s="1"/>
  <c r="W76" i="9"/>
  <c r="BB76" i="9" s="1"/>
  <c r="H76" i="8"/>
  <c r="I76" i="8" s="1"/>
  <c r="J77" i="9"/>
  <c r="X77" i="9" s="1"/>
  <c r="L77" i="8" s="1"/>
  <c r="Q77" i="9"/>
  <c r="G80" i="3"/>
  <c r="N80" i="3" s="1"/>
  <c r="E80" i="12"/>
  <c r="G80" i="9"/>
  <c r="G81" i="12"/>
  <c r="AD81" i="3"/>
  <c r="R79" i="9"/>
  <c r="N84" i="5"/>
  <c r="A88" i="6"/>
  <c r="AB89" i="22"/>
  <c r="T90" i="22"/>
  <c r="AC92" i="23"/>
  <c r="U93" i="23"/>
  <c r="S84" i="5"/>
  <c r="T84" i="5"/>
  <c r="Q84" i="5"/>
  <c r="R84" i="5"/>
  <c r="E82" i="5"/>
  <c r="AE83" i="23" s="1"/>
  <c r="F82" i="5"/>
  <c r="AF83" i="23" s="1"/>
  <c r="AO82" i="9" s="1"/>
  <c r="G82" i="5"/>
  <c r="B81" i="5"/>
  <c r="AD82" i="23" s="1"/>
  <c r="A85" i="5"/>
  <c r="R85" i="5" s="1"/>
  <c r="O84" i="5"/>
  <c r="M84" i="5"/>
  <c r="U91" i="22"/>
  <c r="P90" i="6" s="1"/>
  <c r="AC90" i="22"/>
  <c r="P84" i="5"/>
  <c r="K84" i="5"/>
  <c r="J83" i="5"/>
  <c r="H83" i="5" s="1"/>
  <c r="K79" i="9"/>
  <c r="P80" i="12"/>
  <c r="B80" i="3"/>
  <c r="K80" i="12"/>
  <c r="V74" i="8"/>
  <c r="AU73" i="9"/>
  <c r="BV73" i="9" s="1"/>
  <c r="BW73" i="9" s="1"/>
  <c r="O73" i="11" s="1"/>
  <c r="J73" i="8"/>
  <c r="R73" i="8" s="1"/>
  <c r="AF73" i="8" s="1"/>
  <c r="Z73" i="9" s="1"/>
  <c r="AC73" i="9" s="1"/>
  <c r="AT73" i="9" s="1"/>
  <c r="AR73" i="9"/>
  <c r="V73" i="8"/>
  <c r="X73" i="8" s="1"/>
  <c r="Y73" i="8" s="1"/>
  <c r="AD73" i="8" s="1"/>
  <c r="T73" i="3" s="1"/>
  <c r="W73" i="3" s="1"/>
  <c r="AL73" i="3" s="1"/>
  <c r="J74" i="8"/>
  <c r="Q74" i="8" s="1"/>
  <c r="Q76" i="3"/>
  <c r="P76" i="3"/>
  <c r="BX74" i="9"/>
  <c r="BY74" i="9" s="1"/>
  <c r="S74" i="11" s="1"/>
  <c r="P74" i="11" s="1"/>
  <c r="T75" i="8"/>
  <c r="S75" i="8" s="1"/>
  <c r="H76" i="3"/>
  <c r="M76" i="3" s="1"/>
  <c r="M76" i="9" s="1"/>
  <c r="S76" i="9" s="1"/>
  <c r="K76" i="8" s="1"/>
  <c r="N76" i="8" s="1"/>
  <c r="O76" i="8" s="1"/>
  <c r="P76" i="8" s="1"/>
  <c r="AU74" i="9"/>
  <c r="BV74" i="9" s="1"/>
  <c r="BW74" i="9" s="1"/>
  <c r="O74" i="11" s="1"/>
  <c r="AR74" i="9"/>
  <c r="Z83" i="6"/>
  <c r="Y83" i="6"/>
  <c r="AB83" i="6"/>
  <c r="T83" i="6"/>
  <c r="X83" i="6"/>
  <c r="W83" i="6"/>
  <c r="V83" i="6"/>
  <c r="AC83" i="6"/>
  <c r="U83" i="6"/>
  <c r="AA83" i="6"/>
  <c r="S82" i="6"/>
  <c r="M75" i="3"/>
  <c r="M75" i="9" s="1"/>
  <c r="O75" i="9" s="1"/>
  <c r="D75" i="11" s="1"/>
  <c r="Q81" i="6"/>
  <c r="AD82" i="17" s="1"/>
  <c r="R81" i="6"/>
  <c r="AA82" i="17" s="1"/>
  <c r="R75" i="3"/>
  <c r="AS75" i="3" s="1"/>
  <c r="K75" i="3"/>
  <c r="L75" i="3"/>
  <c r="N75" i="9" s="1"/>
  <c r="P75" i="9" s="1"/>
  <c r="O77" i="3"/>
  <c r="J77" i="12"/>
  <c r="AA79" i="7"/>
  <c r="O77" i="12"/>
  <c r="B77" i="12" s="1"/>
  <c r="AH77" i="9"/>
  <c r="AM77" i="9" s="1"/>
  <c r="M77" i="12"/>
  <c r="AG77" i="9"/>
  <c r="AC79" i="7"/>
  <c r="AD79" i="7"/>
  <c r="AZ75" i="3"/>
  <c r="BA75" i="3" s="1"/>
  <c r="Z75" i="11" s="1"/>
  <c r="BX75" i="9"/>
  <c r="B79" i="6"/>
  <c r="C79" i="6"/>
  <c r="D80" i="6"/>
  <c r="E81" i="6"/>
  <c r="N81" i="6"/>
  <c r="F81" i="6"/>
  <c r="H81" i="6"/>
  <c r="L81" i="6"/>
  <c r="G81" i="6"/>
  <c r="J81" i="6"/>
  <c r="K81" i="6"/>
  <c r="M81" i="6"/>
  <c r="I81" i="6"/>
  <c r="M82" i="8"/>
  <c r="AU82" i="3"/>
  <c r="AG73" i="8"/>
  <c r="Y73" i="9" s="1"/>
  <c r="AB73" i="9" s="1"/>
  <c r="AQ73" i="9" s="1"/>
  <c r="Q72" i="8"/>
  <c r="R72" i="8"/>
  <c r="AF72" i="8" s="1"/>
  <c r="Z72" i="9" s="1"/>
  <c r="AC72" i="9" s="1"/>
  <c r="AT72" i="9" s="1"/>
  <c r="AV72" i="9" s="1"/>
  <c r="T72" i="3"/>
  <c r="W72" i="3" s="1"/>
  <c r="AL72" i="3" s="1"/>
  <c r="AG72" i="8"/>
  <c r="Y72" i="9" s="1"/>
  <c r="AB72" i="9" s="1"/>
  <c r="AQ72" i="9" s="1"/>
  <c r="AS72" i="9" s="1"/>
  <c r="J78" i="3"/>
  <c r="I79" i="12"/>
  <c r="A85" i="12"/>
  <c r="H80" i="12"/>
  <c r="I79" i="3"/>
  <c r="F80" i="9"/>
  <c r="F80" i="3"/>
  <c r="A85" i="11"/>
  <c r="Z81" i="3"/>
  <c r="A84" i="8"/>
  <c r="AN84" i="8" l="1"/>
  <c r="AU84" i="8"/>
  <c r="AM84" i="8"/>
  <c r="AT84" i="8"/>
  <c r="AL84" i="8"/>
  <c r="AS84" i="8"/>
  <c r="AR84" i="8"/>
  <c r="AQ84" i="8"/>
  <c r="AP84" i="8"/>
  <c r="AO84" i="8"/>
  <c r="AV84" i="8"/>
  <c r="AW84" i="8"/>
  <c r="AX84" i="8"/>
  <c r="AY84" i="8"/>
  <c r="AZ84" i="8"/>
  <c r="BA84" i="8"/>
  <c r="BB84" i="8"/>
  <c r="BC84" i="8"/>
  <c r="BD84" i="8"/>
  <c r="BE84" i="8"/>
  <c r="BF84" i="8"/>
  <c r="AK83" i="8"/>
  <c r="B82" i="8"/>
  <c r="AJ82" i="8" s="1"/>
  <c r="C82" i="8"/>
  <c r="D82" i="8" s="1"/>
  <c r="G82" i="8"/>
  <c r="AH83" i="23"/>
  <c r="U82" i="12" s="1"/>
  <c r="AH84" i="23"/>
  <c r="U83" i="12" s="1"/>
  <c r="X74" i="8"/>
  <c r="Y74" i="8" s="1"/>
  <c r="AA74" i="8" s="1"/>
  <c r="AC74" i="8" s="1"/>
  <c r="U74" i="3" s="1"/>
  <c r="X74" i="3" s="1"/>
  <c r="AO74" i="3" s="1"/>
  <c r="T76" i="8"/>
  <c r="S76" i="8" s="1"/>
  <c r="AM76" i="3"/>
  <c r="AZ76" i="3" s="1"/>
  <c r="BA76" i="3" s="1"/>
  <c r="Z76" i="11" s="1"/>
  <c r="AK79" i="3"/>
  <c r="AI80" i="3"/>
  <c r="AJ80" i="3"/>
  <c r="BT74" i="9"/>
  <c r="BU74" i="9" s="1"/>
  <c r="R74" i="11" s="1"/>
  <c r="BK74" i="9"/>
  <c r="BL74" i="9" s="1"/>
  <c r="BT73" i="9"/>
  <c r="BU73" i="9" s="1"/>
  <c r="R73" i="11" s="1"/>
  <c r="BK73" i="9"/>
  <c r="BL73" i="9" s="1"/>
  <c r="AL76" i="9"/>
  <c r="AK77" i="9"/>
  <c r="AJ77" i="9"/>
  <c r="K85" i="5"/>
  <c r="T85" i="5"/>
  <c r="AG83" i="23"/>
  <c r="K80" i="9"/>
  <c r="L80" i="9" s="1"/>
  <c r="H77" i="8"/>
  <c r="I77" i="8" s="1"/>
  <c r="W77" i="9"/>
  <c r="BB77" i="9" s="1"/>
  <c r="AJ78" i="23"/>
  <c r="AK78" i="23" s="1"/>
  <c r="AD83" i="3"/>
  <c r="G81" i="3"/>
  <c r="N81" i="3" s="1"/>
  <c r="G81" i="9"/>
  <c r="E81" i="12"/>
  <c r="R80" i="9"/>
  <c r="E82" i="12"/>
  <c r="G82" i="9"/>
  <c r="G82" i="3"/>
  <c r="E82" i="9"/>
  <c r="F82" i="12"/>
  <c r="E82" i="3"/>
  <c r="G82" i="12"/>
  <c r="C83" i="5"/>
  <c r="P85" i="5"/>
  <c r="AC93" i="23"/>
  <c r="U94" i="23"/>
  <c r="S85" i="5"/>
  <c r="Q85" i="5"/>
  <c r="M85" i="5"/>
  <c r="O85" i="5"/>
  <c r="A89" i="6"/>
  <c r="AB90" i="22"/>
  <c r="T91" i="22"/>
  <c r="N85" i="5"/>
  <c r="A86" i="5"/>
  <c r="R86" i="5" s="1"/>
  <c r="L85" i="5"/>
  <c r="D83" i="5"/>
  <c r="J84" i="5"/>
  <c r="H84" i="5" s="1"/>
  <c r="E83" i="5"/>
  <c r="AE84" i="23" s="1"/>
  <c r="G83" i="5"/>
  <c r="F83" i="5"/>
  <c r="AF84" i="23" s="1"/>
  <c r="AO83" i="9" s="1"/>
  <c r="U92" i="22"/>
  <c r="P91" i="6" s="1"/>
  <c r="AC91" i="22"/>
  <c r="I83" i="5"/>
  <c r="AI84" i="23" s="1"/>
  <c r="L79" i="9"/>
  <c r="B81" i="3"/>
  <c r="K81" i="12"/>
  <c r="AC81" i="3"/>
  <c r="O76" i="9"/>
  <c r="D76" i="11" s="1"/>
  <c r="Z73" i="8"/>
  <c r="AE73" i="8" s="1"/>
  <c r="V73" i="3" s="1"/>
  <c r="Y73" i="3" s="1"/>
  <c r="AR73" i="3" s="1"/>
  <c r="BF73" i="3" s="1"/>
  <c r="BG73" i="3" s="1"/>
  <c r="W73" i="11" s="1"/>
  <c r="AA73" i="8"/>
  <c r="AC73" i="8" s="1"/>
  <c r="U73" i="3" s="1"/>
  <c r="X73" i="3" s="1"/>
  <c r="AO73" i="3" s="1"/>
  <c r="BB73" i="3" s="1"/>
  <c r="BC73" i="3" s="1"/>
  <c r="X73" i="11" s="1"/>
  <c r="AV73" i="9"/>
  <c r="K76" i="3"/>
  <c r="Q73" i="8"/>
  <c r="AS73" i="9"/>
  <c r="V76" i="8"/>
  <c r="R76" i="3"/>
  <c r="AS76" i="3" s="1"/>
  <c r="U76" i="9"/>
  <c r="AZ76" i="9" s="1"/>
  <c r="BM76" i="9" s="1"/>
  <c r="L76" i="3"/>
  <c r="N76" i="9" s="1"/>
  <c r="V76" i="9"/>
  <c r="BA76" i="9" s="1"/>
  <c r="BC76" i="9" s="1"/>
  <c r="BQ76" i="9" s="1"/>
  <c r="T76" i="9"/>
  <c r="J76" i="8" s="1"/>
  <c r="R76" i="8" s="1"/>
  <c r="AF76" i="8" s="1"/>
  <c r="V75" i="9"/>
  <c r="BA75" i="9" s="1"/>
  <c r="BC75" i="9" s="1"/>
  <c r="BQ75" i="9" s="1"/>
  <c r="BR75" i="9" s="1"/>
  <c r="R82" i="6"/>
  <c r="AA83" i="17" s="1"/>
  <c r="Q82" i="6"/>
  <c r="AD83" i="17" s="1"/>
  <c r="S75" i="9"/>
  <c r="K75" i="8" s="1"/>
  <c r="N75" i="8" s="1"/>
  <c r="O75" i="8" s="1"/>
  <c r="P75" i="8" s="1"/>
  <c r="AH75" i="8" s="1"/>
  <c r="AA75" i="9" s="1"/>
  <c r="AD75" i="9" s="1"/>
  <c r="AX75" i="9" s="1"/>
  <c r="BY75" i="9"/>
  <c r="S75" i="11" s="1"/>
  <c r="P75" i="11" s="1"/>
  <c r="S83" i="6"/>
  <c r="T75" i="9"/>
  <c r="W75" i="8" s="1"/>
  <c r="Q77" i="3"/>
  <c r="Y84" i="6"/>
  <c r="AC84" i="6"/>
  <c r="U84" i="6"/>
  <c r="AB84" i="6"/>
  <c r="T84" i="6"/>
  <c r="W84" i="6"/>
  <c r="X84" i="6"/>
  <c r="V84" i="6"/>
  <c r="AA84" i="6"/>
  <c r="Z84" i="6"/>
  <c r="U75" i="9"/>
  <c r="AZ75" i="9" s="1"/>
  <c r="BM75" i="9" s="1"/>
  <c r="BN75" i="9" s="1"/>
  <c r="H77" i="3"/>
  <c r="M77" i="3" s="1"/>
  <c r="M77" i="9" s="1"/>
  <c r="O77" i="9" s="1"/>
  <c r="D77" i="11" s="1"/>
  <c r="B78" i="9"/>
  <c r="P77" i="3"/>
  <c r="AM77" i="3" s="1"/>
  <c r="J78" i="12"/>
  <c r="AA80" i="7"/>
  <c r="J79" i="12" s="1"/>
  <c r="O78" i="12"/>
  <c r="B78" i="12" s="1"/>
  <c r="AH78" i="9"/>
  <c r="AM78" i="9" s="1"/>
  <c r="AD80" i="7"/>
  <c r="AC80" i="7"/>
  <c r="M78" i="12"/>
  <c r="AG78" i="9"/>
  <c r="H78" i="3"/>
  <c r="K78" i="3" s="1"/>
  <c r="Q78" i="3"/>
  <c r="P78" i="3"/>
  <c r="AM78" i="3" s="1"/>
  <c r="O78" i="3"/>
  <c r="D81" i="6"/>
  <c r="K82" i="6"/>
  <c r="N82" i="6"/>
  <c r="H82" i="6"/>
  <c r="J82" i="6"/>
  <c r="G82" i="6"/>
  <c r="M82" i="6"/>
  <c r="L82" i="6"/>
  <c r="I82" i="6"/>
  <c r="F82" i="6"/>
  <c r="E82" i="6"/>
  <c r="B80" i="6"/>
  <c r="C80" i="6"/>
  <c r="M83" i="8"/>
  <c r="AU83" i="3"/>
  <c r="AN73" i="3"/>
  <c r="AX73" i="3"/>
  <c r="BB72" i="3"/>
  <c r="BC72" i="3" s="1"/>
  <c r="X72" i="11" s="1"/>
  <c r="AN72" i="3"/>
  <c r="AX72" i="3"/>
  <c r="AG74" i="8"/>
  <c r="Y74" i="9" s="1"/>
  <c r="AB74" i="9" s="1"/>
  <c r="AQ74" i="9" s="1"/>
  <c r="AS74" i="9" s="1"/>
  <c r="AH74" i="8"/>
  <c r="AA74" i="9" s="1"/>
  <c r="AD74" i="9" s="1"/>
  <c r="AX74" i="9" s="1"/>
  <c r="R74" i="8"/>
  <c r="AF74" i="8" s="1"/>
  <c r="Z74" i="9" s="1"/>
  <c r="AC74" i="9" s="1"/>
  <c r="AT74" i="9" s="1"/>
  <c r="AV74" i="9" s="1"/>
  <c r="AI73" i="8"/>
  <c r="Q73" i="12" s="1"/>
  <c r="AI72" i="8"/>
  <c r="Q72" i="12" s="1"/>
  <c r="BI72" i="9"/>
  <c r="BJ72" i="9" s="1"/>
  <c r="BI73" i="9"/>
  <c r="BJ73" i="9" s="1"/>
  <c r="J79" i="3"/>
  <c r="A86" i="12"/>
  <c r="I80" i="12"/>
  <c r="H81" i="12"/>
  <c r="F81" i="9"/>
  <c r="F81" i="3"/>
  <c r="I80" i="3"/>
  <c r="A86" i="11"/>
  <c r="Z82" i="3"/>
  <c r="A85" i="8"/>
  <c r="G83" i="8" l="1"/>
  <c r="C83" i="8"/>
  <c r="D83" i="8" s="1"/>
  <c r="B83" i="8"/>
  <c r="AJ83" i="8" s="1"/>
  <c r="AK84" i="8"/>
  <c r="AT85" i="8"/>
  <c r="AL85" i="8"/>
  <c r="AS85" i="8"/>
  <c r="AR85" i="8"/>
  <c r="AQ85" i="8"/>
  <c r="AP85" i="8"/>
  <c r="AO85" i="8"/>
  <c r="AN85" i="8"/>
  <c r="AU85" i="8"/>
  <c r="AM85" i="8"/>
  <c r="AV85" i="8"/>
  <c r="AW85" i="8"/>
  <c r="AX85" i="8"/>
  <c r="AY85" i="8"/>
  <c r="AZ85" i="8"/>
  <c r="BA85" i="8"/>
  <c r="BB85" i="8"/>
  <c r="BC85" i="8"/>
  <c r="BD85" i="8"/>
  <c r="BE85" i="8"/>
  <c r="BF85" i="8"/>
  <c r="AD82" i="3"/>
  <c r="AH85" i="23"/>
  <c r="U84" i="12" s="1"/>
  <c r="AD74" i="8"/>
  <c r="T74" i="3" s="1"/>
  <c r="W74" i="3" s="1"/>
  <c r="AL74" i="3" s="1"/>
  <c r="AX74" i="3" s="1"/>
  <c r="Z74" i="8"/>
  <c r="AE74" i="8" s="1"/>
  <c r="V74" i="3" s="1"/>
  <c r="Y74" i="3" s="1"/>
  <c r="AR74" i="3" s="1"/>
  <c r="BF74" i="3" s="1"/>
  <c r="BG74" i="3" s="1"/>
  <c r="W74" i="11" s="1"/>
  <c r="A87" i="5"/>
  <c r="S87" i="5" s="1"/>
  <c r="AK80" i="3"/>
  <c r="AI81" i="3"/>
  <c r="AJ81" i="3"/>
  <c r="AY72" i="3"/>
  <c r="V72" i="11" s="1"/>
  <c r="BH72" i="3"/>
  <c r="BI72" i="3" s="1"/>
  <c r="AA72" i="11" s="1"/>
  <c r="H72" i="11" s="1"/>
  <c r="AY73" i="3"/>
  <c r="V73" i="11" s="1"/>
  <c r="BH73" i="3"/>
  <c r="BI73" i="3" s="1"/>
  <c r="AA73" i="11" s="1"/>
  <c r="H73" i="11" s="1"/>
  <c r="L86" i="5"/>
  <c r="P86" i="5"/>
  <c r="N86" i="5"/>
  <c r="AK78" i="9"/>
  <c r="AJ78" i="9"/>
  <c r="AL77" i="9"/>
  <c r="K86" i="5"/>
  <c r="AG84" i="23"/>
  <c r="N82" i="3"/>
  <c r="I81" i="3"/>
  <c r="J81" i="3" s="1"/>
  <c r="J78" i="9"/>
  <c r="AJ79" i="23" s="1"/>
  <c r="AK79" i="23" s="1"/>
  <c r="Q78" i="9"/>
  <c r="B83" i="5"/>
  <c r="AD84" i="23" s="1"/>
  <c r="F83" i="12"/>
  <c r="E83" i="3"/>
  <c r="E83" i="9"/>
  <c r="R81" i="9"/>
  <c r="G83" i="12"/>
  <c r="R82" i="9"/>
  <c r="C84" i="5"/>
  <c r="F84" i="5"/>
  <c r="AF85" i="23" s="1"/>
  <c r="AO84" i="9" s="1"/>
  <c r="J85" i="5"/>
  <c r="I85" i="5" s="1"/>
  <c r="AI86" i="23" s="1"/>
  <c r="E84" i="5"/>
  <c r="AE85" i="23" s="1"/>
  <c r="S86" i="5"/>
  <c r="I84" i="5"/>
  <c r="AI85" i="23" s="1"/>
  <c r="G84" i="5"/>
  <c r="D84" i="5"/>
  <c r="Q86" i="5"/>
  <c r="T86" i="5"/>
  <c r="M86" i="5"/>
  <c r="O86" i="5"/>
  <c r="AC94" i="23"/>
  <c r="U95" i="23"/>
  <c r="A90" i="6"/>
  <c r="AB91" i="22"/>
  <c r="T92" i="22"/>
  <c r="U93" i="22"/>
  <c r="P92" i="6" s="1"/>
  <c r="AC92" i="22"/>
  <c r="P81" i="12"/>
  <c r="P82" i="12"/>
  <c r="K82" i="12"/>
  <c r="B82" i="3"/>
  <c r="BN76" i="9"/>
  <c r="BR76" i="9"/>
  <c r="BX76" i="9"/>
  <c r="BY76" i="9" s="1"/>
  <c r="S76" i="11" s="1"/>
  <c r="P76" i="11" s="1"/>
  <c r="U77" i="9"/>
  <c r="AZ77" i="9" s="1"/>
  <c r="BM77" i="9" s="1"/>
  <c r="BN77" i="9" s="1"/>
  <c r="AU76" i="9"/>
  <c r="BV76" i="9" s="1"/>
  <c r="BW76" i="9" s="1"/>
  <c r="O76" i="11" s="1"/>
  <c r="T77" i="9"/>
  <c r="P76" i="9"/>
  <c r="R77" i="3"/>
  <c r="AS77" i="3" s="1"/>
  <c r="AR76" i="9"/>
  <c r="L77" i="3"/>
  <c r="N77" i="9" s="1"/>
  <c r="P77" i="9" s="1"/>
  <c r="W76" i="8"/>
  <c r="X76" i="8" s="1"/>
  <c r="Y76" i="8" s="1"/>
  <c r="Z76" i="8" s="1"/>
  <c r="AE76" i="8" s="1"/>
  <c r="V76" i="3" s="1"/>
  <c r="Y76" i="3" s="1"/>
  <c r="AR76" i="3" s="1"/>
  <c r="BF76" i="3" s="1"/>
  <c r="BG76" i="3" s="1"/>
  <c r="W76" i="11" s="1"/>
  <c r="V77" i="9"/>
  <c r="BA77" i="9" s="1"/>
  <c r="BC77" i="9" s="1"/>
  <c r="BQ77" i="9" s="1"/>
  <c r="BR77" i="9" s="1"/>
  <c r="S77" i="9"/>
  <c r="K77" i="8" s="1"/>
  <c r="N77" i="8" s="1"/>
  <c r="O77" i="8" s="1"/>
  <c r="P77" i="8" s="1"/>
  <c r="K77" i="3"/>
  <c r="V75" i="8"/>
  <c r="X75" i="8" s="1"/>
  <c r="Y75" i="8" s="1"/>
  <c r="AD75" i="8" s="1"/>
  <c r="T75" i="3" s="1"/>
  <c r="W75" i="3" s="1"/>
  <c r="AL75" i="3" s="1"/>
  <c r="AR75" i="9"/>
  <c r="H79" i="3"/>
  <c r="K79" i="3" s="1"/>
  <c r="B79" i="9"/>
  <c r="J75" i="8"/>
  <c r="R75" i="8" s="1"/>
  <c r="AF75" i="8" s="1"/>
  <c r="Z75" i="9" s="1"/>
  <c r="AC75" i="9" s="1"/>
  <c r="AT75" i="9" s="1"/>
  <c r="AU75" i="9"/>
  <c r="BV75" i="9" s="1"/>
  <c r="BW75" i="9" s="1"/>
  <c r="O75" i="11" s="1"/>
  <c r="T77" i="8"/>
  <c r="S77" i="8" s="1"/>
  <c r="S84" i="6"/>
  <c r="Q83" i="6"/>
  <c r="AD84" i="17" s="1"/>
  <c r="R83" i="6"/>
  <c r="AA84" i="17" s="1"/>
  <c r="Y85" i="6"/>
  <c r="AC85" i="6"/>
  <c r="V85" i="6"/>
  <c r="W85" i="6"/>
  <c r="AB85" i="6"/>
  <c r="X85" i="6"/>
  <c r="T85" i="6"/>
  <c r="AA85" i="6"/>
  <c r="Z85" i="6"/>
  <c r="U85" i="6"/>
  <c r="AA81" i="7"/>
  <c r="M78" i="3"/>
  <c r="M78" i="9" s="1"/>
  <c r="AG79" i="9"/>
  <c r="M79" i="12"/>
  <c r="AH79" i="9"/>
  <c r="AM79" i="9" s="1"/>
  <c r="O79" i="12"/>
  <c r="B79" i="12" s="1"/>
  <c r="AC81" i="7"/>
  <c r="AD81" i="7"/>
  <c r="BX77" i="9"/>
  <c r="BY77" i="9" s="1"/>
  <c r="S77" i="11" s="1"/>
  <c r="P77" i="11" s="1"/>
  <c r="AZ77" i="3"/>
  <c r="BA77" i="3" s="1"/>
  <c r="Z77" i="11" s="1"/>
  <c r="O79" i="3"/>
  <c r="P79" i="3"/>
  <c r="AM79" i="3" s="1"/>
  <c r="L83" i="6"/>
  <c r="J83" i="6"/>
  <c r="N83" i="6"/>
  <c r="K83" i="6"/>
  <c r="M83" i="6"/>
  <c r="I83" i="6"/>
  <c r="H83" i="6"/>
  <c r="E83" i="6"/>
  <c r="F83" i="6"/>
  <c r="G83" i="6"/>
  <c r="R78" i="3"/>
  <c r="AS78" i="3" s="1"/>
  <c r="L78" i="3"/>
  <c r="N78" i="9" s="1"/>
  <c r="B81" i="6"/>
  <c r="C81" i="6"/>
  <c r="D82" i="6"/>
  <c r="T78" i="8"/>
  <c r="S78" i="8" s="1"/>
  <c r="M84" i="8"/>
  <c r="AU84" i="3"/>
  <c r="BB74" i="3"/>
  <c r="BC74" i="3" s="1"/>
  <c r="X74" i="11" s="1"/>
  <c r="AI74" i="8"/>
  <c r="Q74" i="12" s="1"/>
  <c r="AH76" i="8"/>
  <c r="AA76" i="9" s="1"/>
  <c r="AD76" i="9" s="1"/>
  <c r="AX76" i="9" s="1"/>
  <c r="AG76" i="8"/>
  <c r="Y76" i="9" s="1"/>
  <c r="AB76" i="9" s="1"/>
  <c r="AQ76" i="9" s="1"/>
  <c r="AG75" i="8"/>
  <c r="Y75" i="9" s="1"/>
  <c r="AB75" i="9" s="1"/>
  <c r="AQ75" i="9" s="1"/>
  <c r="Q76" i="8"/>
  <c r="BI74" i="9"/>
  <c r="BJ74" i="9" s="1"/>
  <c r="Z76" i="9"/>
  <c r="AC76" i="9" s="1"/>
  <c r="AT76" i="9" s="1"/>
  <c r="J80" i="3"/>
  <c r="A87" i="12"/>
  <c r="I81" i="12"/>
  <c r="H82" i="12"/>
  <c r="F82" i="9"/>
  <c r="K82" i="9" s="1"/>
  <c r="F82" i="3"/>
  <c r="I82" i="3" s="1"/>
  <c r="K81" i="9"/>
  <c r="A87" i="11"/>
  <c r="Z83" i="3"/>
  <c r="A86" i="8"/>
  <c r="AR86" i="8" l="1"/>
  <c r="AQ86" i="8"/>
  <c r="AP86" i="8"/>
  <c r="AO86" i="8"/>
  <c r="AN86" i="8"/>
  <c r="AU86" i="8"/>
  <c r="AM86" i="8"/>
  <c r="AT86" i="8"/>
  <c r="AL86" i="8"/>
  <c r="AS86" i="8"/>
  <c r="AV86" i="8"/>
  <c r="AW86" i="8"/>
  <c r="AX86" i="8"/>
  <c r="AY86" i="8"/>
  <c r="AZ86" i="8"/>
  <c r="BA86" i="8"/>
  <c r="BB86" i="8"/>
  <c r="BC86" i="8"/>
  <c r="BD86" i="8"/>
  <c r="BE86" i="8"/>
  <c r="BF86" i="8"/>
  <c r="C84" i="8"/>
  <c r="D84" i="8" s="1"/>
  <c r="B84" i="8"/>
  <c r="AJ84" i="8" s="1"/>
  <c r="G84" i="8"/>
  <c r="AK85" i="8"/>
  <c r="AD84" i="3"/>
  <c r="K87" i="5"/>
  <c r="AN74" i="3"/>
  <c r="Q87" i="5"/>
  <c r="T87" i="5"/>
  <c r="N87" i="5"/>
  <c r="O87" i="5"/>
  <c r="L87" i="5"/>
  <c r="M87" i="5"/>
  <c r="P87" i="5"/>
  <c r="R87" i="5"/>
  <c r="A88" i="5"/>
  <c r="Q88" i="5" s="1"/>
  <c r="AK81" i="3"/>
  <c r="AJ82" i="3"/>
  <c r="AY74" i="3"/>
  <c r="V74" i="11" s="1"/>
  <c r="BH74" i="3"/>
  <c r="BI74" i="3" s="1"/>
  <c r="AA74" i="11" s="1"/>
  <c r="H74" i="11" s="1"/>
  <c r="BT75" i="9"/>
  <c r="BU75" i="9" s="1"/>
  <c r="R75" i="11" s="1"/>
  <c r="BK75" i="9"/>
  <c r="BL75" i="9" s="1"/>
  <c r="BT76" i="9"/>
  <c r="BU76" i="9" s="1"/>
  <c r="R76" i="11" s="1"/>
  <c r="BK76" i="9"/>
  <c r="BL76" i="9" s="1"/>
  <c r="AL78" i="9"/>
  <c r="AK79" i="9"/>
  <c r="AJ79" i="9"/>
  <c r="J86" i="5"/>
  <c r="H86" i="5" s="1"/>
  <c r="F85" i="5"/>
  <c r="AF86" i="23" s="1"/>
  <c r="E85" i="5"/>
  <c r="AE86" i="23" s="1"/>
  <c r="E85" i="3" s="1"/>
  <c r="H85" i="5"/>
  <c r="G85" i="5"/>
  <c r="AG86" i="23" s="1"/>
  <c r="D85" i="5"/>
  <c r="C85" i="5"/>
  <c r="O78" i="9"/>
  <c r="D78" i="11" s="1"/>
  <c r="AG85" i="23"/>
  <c r="B84" i="5"/>
  <c r="AD85" i="23" s="1"/>
  <c r="E84" i="12" s="1"/>
  <c r="X78" i="9"/>
  <c r="L78" i="8" s="1"/>
  <c r="J79" i="9"/>
  <c r="AJ80" i="23" s="1"/>
  <c r="AK80" i="23" s="1"/>
  <c r="Q79" i="9"/>
  <c r="H78" i="8"/>
  <c r="I78" i="8" s="1"/>
  <c r="W78" i="9"/>
  <c r="BB78" i="9" s="1"/>
  <c r="G84" i="12"/>
  <c r="E84" i="9"/>
  <c r="E84" i="3"/>
  <c r="F84" i="12"/>
  <c r="G83" i="9"/>
  <c r="E83" i="12"/>
  <c r="G83" i="3"/>
  <c r="N83" i="3" s="1"/>
  <c r="A91" i="6"/>
  <c r="AB92" i="22"/>
  <c r="T93" i="22"/>
  <c r="AC95" i="23"/>
  <c r="U96" i="23"/>
  <c r="U94" i="22"/>
  <c r="P93" i="6" s="1"/>
  <c r="AC93" i="22"/>
  <c r="K83" i="12"/>
  <c r="B83" i="3"/>
  <c r="P83" i="12"/>
  <c r="AC82" i="3"/>
  <c r="AI82" i="3" s="1"/>
  <c r="AV76" i="9"/>
  <c r="AD76" i="8"/>
  <c r="T76" i="3" s="1"/>
  <c r="W76" i="3" s="1"/>
  <c r="AL76" i="3" s="1"/>
  <c r="AX76" i="3" s="1"/>
  <c r="AU77" i="9"/>
  <c r="BV77" i="9" s="1"/>
  <c r="AR77" i="9"/>
  <c r="AA76" i="8"/>
  <c r="AC76" i="8" s="1"/>
  <c r="U76" i="3" s="1"/>
  <c r="X76" i="3" s="1"/>
  <c r="AO76" i="3" s="1"/>
  <c r="BB76" i="3" s="1"/>
  <c r="BC76" i="3" s="1"/>
  <c r="X76" i="11" s="1"/>
  <c r="AS75" i="9"/>
  <c r="AS76" i="9"/>
  <c r="Q79" i="3"/>
  <c r="Q75" i="8"/>
  <c r="AV75" i="9"/>
  <c r="AA75" i="8"/>
  <c r="AC75" i="8" s="1"/>
  <c r="U75" i="3" s="1"/>
  <c r="X75" i="3" s="1"/>
  <c r="AO75" i="3" s="1"/>
  <c r="BB75" i="3" s="1"/>
  <c r="BC75" i="3" s="1"/>
  <c r="X75" i="11" s="1"/>
  <c r="J80" i="12"/>
  <c r="Z75" i="8"/>
  <c r="AE75" i="8" s="1"/>
  <c r="V75" i="3" s="1"/>
  <c r="Y75" i="3" s="1"/>
  <c r="AR75" i="3" s="1"/>
  <c r="BF75" i="3" s="1"/>
  <c r="BG75" i="3" s="1"/>
  <c r="W75" i="11" s="1"/>
  <c r="W77" i="8"/>
  <c r="B80" i="9"/>
  <c r="R84" i="6"/>
  <c r="AA85" i="17" s="1"/>
  <c r="Q84" i="6"/>
  <c r="AD85" i="17" s="1"/>
  <c r="Z86" i="6"/>
  <c r="W86" i="6"/>
  <c r="X86" i="6"/>
  <c r="Y86" i="6"/>
  <c r="AC86" i="6"/>
  <c r="AB86" i="6"/>
  <c r="T86" i="6"/>
  <c r="AA86" i="6"/>
  <c r="U86" i="6"/>
  <c r="V86" i="6"/>
  <c r="S85" i="6"/>
  <c r="U78" i="9"/>
  <c r="AZ78" i="9" s="1"/>
  <c r="BM78" i="9" s="1"/>
  <c r="V78" i="9"/>
  <c r="BA78" i="9" s="1"/>
  <c r="AA82" i="7"/>
  <c r="T78" i="9"/>
  <c r="W78" i="8" s="1"/>
  <c r="S78" i="9"/>
  <c r="K78" i="8" s="1"/>
  <c r="N78" i="8" s="1"/>
  <c r="O78" i="8" s="1"/>
  <c r="P78" i="8" s="1"/>
  <c r="O80" i="12"/>
  <c r="B80" i="12" s="1"/>
  <c r="AH80" i="9"/>
  <c r="AM80" i="9" s="1"/>
  <c r="AG80" i="9"/>
  <c r="M80" i="12"/>
  <c r="AD82" i="7"/>
  <c r="AC82" i="7"/>
  <c r="N84" i="6"/>
  <c r="E84" i="6"/>
  <c r="H84" i="6"/>
  <c r="I84" i="6"/>
  <c r="J84" i="6"/>
  <c r="G84" i="6"/>
  <c r="L84" i="6"/>
  <c r="M84" i="6"/>
  <c r="F84" i="6"/>
  <c r="K84" i="6"/>
  <c r="D83" i="6"/>
  <c r="R79" i="3"/>
  <c r="AS79" i="3" s="1"/>
  <c r="L79" i="3"/>
  <c r="N79" i="9" s="1"/>
  <c r="B82" i="6"/>
  <c r="C82" i="6"/>
  <c r="P78" i="9"/>
  <c r="O80" i="3"/>
  <c r="P80" i="3"/>
  <c r="AM80" i="3" s="1"/>
  <c r="Q80" i="3"/>
  <c r="H80" i="3"/>
  <c r="K80" i="3" s="1"/>
  <c r="T79" i="8"/>
  <c r="M79" i="3"/>
  <c r="M79" i="9" s="1"/>
  <c r="M85" i="8"/>
  <c r="AU85" i="3"/>
  <c r="AN75" i="3"/>
  <c r="AX75" i="3"/>
  <c r="AI75" i="8"/>
  <c r="Q75" i="12" s="1"/>
  <c r="AI76" i="8"/>
  <c r="Q76" i="12" s="1"/>
  <c r="BI75" i="9"/>
  <c r="BJ75" i="9" s="1"/>
  <c r="BI76" i="9"/>
  <c r="BJ76" i="9" s="1"/>
  <c r="V77" i="8"/>
  <c r="J77" i="8"/>
  <c r="J82" i="3"/>
  <c r="A88" i="12"/>
  <c r="I82" i="12"/>
  <c r="H83" i="12"/>
  <c r="L81" i="9"/>
  <c r="L82" i="9"/>
  <c r="F83" i="9"/>
  <c r="F83" i="3"/>
  <c r="A88" i="11"/>
  <c r="Z84" i="3"/>
  <c r="A87" i="8"/>
  <c r="AK86" i="8" l="1"/>
  <c r="AP87" i="8"/>
  <c r="AO87" i="8"/>
  <c r="AN87" i="8"/>
  <c r="AU87" i="8"/>
  <c r="AM87" i="8"/>
  <c r="AT87" i="8"/>
  <c r="AL87" i="8"/>
  <c r="AS87" i="8"/>
  <c r="AR87" i="8"/>
  <c r="AQ87" i="8"/>
  <c r="AV87" i="8"/>
  <c r="AW87" i="8"/>
  <c r="AX87" i="8"/>
  <c r="AY87" i="8"/>
  <c r="AZ87" i="8"/>
  <c r="BA87" i="8"/>
  <c r="BB87" i="8"/>
  <c r="BC87" i="8"/>
  <c r="BD87" i="8"/>
  <c r="BE87" i="8"/>
  <c r="BF87" i="8"/>
  <c r="G85" i="8"/>
  <c r="B85" i="8"/>
  <c r="AJ85" i="8" s="1"/>
  <c r="C85" i="8"/>
  <c r="D85" i="8" s="1"/>
  <c r="AH86" i="23"/>
  <c r="U85" i="12" s="1"/>
  <c r="J87" i="5"/>
  <c r="D87" i="5" s="1"/>
  <c r="AH87" i="23"/>
  <c r="U86" i="12" s="1"/>
  <c r="K88" i="5"/>
  <c r="A89" i="5"/>
  <c r="S89" i="5" s="1"/>
  <c r="S88" i="5"/>
  <c r="M88" i="5"/>
  <c r="T88" i="5"/>
  <c r="R88" i="5"/>
  <c r="P88" i="5"/>
  <c r="L88" i="5"/>
  <c r="O88" i="5"/>
  <c r="N88" i="5"/>
  <c r="B85" i="5"/>
  <c r="AD86" i="23" s="1"/>
  <c r="E85" i="12" s="1"/>
  <c r="AK82" i="3"/>
  <c r="AJ83" i="3"/>
  <c r="AY75" i="3"/>
  <c r="V75" i="11" s="1"/>
  <c r="BH75" i="3"/>
  <c r="BI75" i="3" s="1"/>
  <c r="AA75" i="11" s="1"/>
  <c r="H75" i="11" s="1"/>
  <c r="BT77" i="9"/>
  <c r="BU77" i="9" s="1"/>
  <c r="R77" i="11" s="1"/>
  <c r="BK77" i="9"/>
  <c r="BL77" i="9" s="1"/>
  <c r="AY76" i="3"/>
  <c r="V76" i="11" s="1"/>
  <c r="BH76" i="3"/>
  <c r="BI76" i="3" s="1"/>
  <c r="AA76" i="11" s="1"/>
  <c r="H76" i="11" s="1"/>
  <c r="G86" i="5"/>
  <c r="AG87" i="23" s="1"/>
  <c r="G85" i="12"/>
  <c r="AO85" i="9"/>
  <c r="I86" i="5"/>
  <c r="AI87" i="23" s="1"/>
  <c r="AL79" i="9"/>
  <c r="AJ80" i="9"/>
  <c r="AK80" i="9"/>
  <c r="D86" i="5"/>
  <c r="E86" i="5"/>
  <c r="AE87" i="23" s="1"/>
  <c r="E86" i="3" s="1"/>
  <c r="C86" i="5"/>
  <c r="F86" i="5"/>
  <c r="AF87" i="23" s="1"/>
  <c r="AO86" i="9" s="1"/>
  <c r="F85" i="12"/>
  <c r="E85" i="9"/>
  <c r="BN78" i="9"/>
  <c r="G84" i="3"/>
  <c r="N84" i="3" s="1"/>
  <c r="G84" i="9"/>
  <c r="R84" i="9" s="1"/>
  <c r="AZ78" i="3"/>
  <c r="BA78" i="3" s="1"/>
  <c r="Z78" i="11" s="1"/>
  <c r="H79" i="8"/>
  <c r="I79" i="8" s="1"/>
  <c r="BX78" i="9"/>
  <c r="BY78" i="9" s="1"/>
  <c r="S78" i="11" s="1"/>
  <c r="P78" i="11" s="1"/>
  <c r="O79" i="9"/>
  <c r="D79" i="11" s="1"/>
  <c r="W79" i="9"/>
  <c r="BB79" i="9" s="1"/>
  <c r="X79" i="9"/>
  <c r="L79" i="8" s="1"/>
  <c r="BC78" i="9"/>
  <c r="BQ78" i="9" s="1"/>
  <c r="BR78" i="9" s="1"/>
  <c r="J80" i="9"/>
  <c r="AJ81" i="23" s="1"/>
  <c r="AK81" i="23" s="1"/>
  <c r="Q80" i="9"/>
  <c r="R83" i="9"/>
  <c r="K83" i="9"/>
  <c r="L83" i="9" s="1"/>
  <c r="AC96" i="23"/>
  <c r="U97" i="23"/>
  <c r="A92" i="6"/>
  <c r="AB93" i="22"/>
  <c r="T94" i="22"/>
  <c r="U95" i="22"/>
  <c r="P94" i="6" s="1"/>
  <c r="AC94" i="22"/>
  <c r="AC83" i="3"/>
  <c r="AC84" i="3"/>
  <c r="K84" i="12"/>
  <c r="B84" i="3"/>
  <c r="AN76" i="3"/>
  <c r="S79" i="8"/>
  <c r="X77" i="8"/>
  <c r="Y77" i="8" s="1"/>
  <c r="AD77" i="8" s="1"/>
  <c r="J81" i="12"/>
  <c r="B81" i="9"/>
  <c r="R85" i="6"/>
  <c r="AA86" i="17" s="1"/>
  <c r="Q85" i="6"/>
  <c r="AD86" i="17" s="1"/>
  <c r="T87" i="6"/>
  <c r="AC87" i="6"/>
  <c r="AA87" i="6"/>
  <c r="X87" i="6"/>
  <c r="Z87" i="6"/>
  <c r="W87" i="6"/>
  <c r="Y87" i="6"/>
  <c r="V87" i="6"/>
  <c r="AB87" i="6"/>
  <c r="U87" i="6"/>
  <c r="S86" i="6"/>
  <c r="AU78" i="9"/>
  <c r="BV78" i="9" s="1"/>
  <c r="BW78" i="9" s="1"/>
  <c r="O78" i="11" s="1"/>
  <c r="AA83" i="7"/>
  <c r="B82" i="9" s="1"/>
  <c r="J78" i="8"/>
  <c r="V78" i="8"/>
  <c r="X78" i="8" s="1"/>
  <c r="Y78" i="8" s="1"/>
  <c r="AA78" i="8" s="1"/>
  <c r="AC78" i="8" s="1"/>
  <c r="U78" i="3" s="1"/>
  <c r="X78" i="3" s="1"/>
  <c r="AO78" i="3" s="1"/>
  <c r="AR78" i="9"/>
  <c r="AH81" i="9"/>
  <c r="AM81" i="9" s="1"/>
  <c r="O81" i="12"/>
  <c r="B81" i="12" s="1"/>
  <c r="AG81" i="9"/>
  <c r="M81" i="12"/>
  <c r="AD83" i="7"/>
  <c r="AC83" i="7"/>
  <c r="M80" i="3"/>
  <c r="M80" i="9" s="1"/>
  <c r="V79" i="9"/>
  <c r="BA79" i="9" s="1"/>
  <c r="T80" i="8"/>
  <c r="S80" i="8" s="1"/>
  <c r="F85" i="6"/>
  <c r="G85" i="6"/>
  <c r="M85" i="6"/>
  <c r="L85" i="6"/>
  <c r="J85" i="6"/>
  <c r="E85" i="6"/>
  <c r="K85" i="6"/>
  <c r="H85" i="6"/>
  <c r="N85" i="6"/>
  <c r="I85" i="6"/>
  <c r="S79" i="9"/>
  <c r="K79" i="8" s="1"/>
  <c r="N79" i="8" s="1"/>
  <c r="O79" i="8" s="1"/>
  <c r="P79" i="8" s="1"/>
  <c r="T79" i="9"/>
  <c r="W79" i="8" s="1"/>
  <c r="D84" i="6"/>
  <c r="C83" i="6"/>
  <c r="B83" i="6"/>
  <c r="P81" i="3"/>
  <c r="AM81" i="3" s="1"/>
  <c r="O81" i="3"/>
  <c r="Q81" i="3"/>
  <c r="H81" i="3"/>
  <c r="P79" i="9"/>
  <c r="U79" i="9"/>
  <c r="AZ79" i="9" s="1"/>
  <c r="BM79" i="9" s="1"/>
  <c r="L80" i="3"/>
  <c r="N80" i="9" s="1"/>
  <c r="R80" i="3"/>
  <c r="AS80" i="3" s="1"/>
  <c r="AH78" i="8"/>
  <c r="AA78" i="9" s="1"/>
  <c r="AD78" i="9" s="1"/>
  <c r="AX78" i="9" s="1"/>
  <c r="M86" i="8"/>
  <c r="AU86" i="3"/>
  <c r="BW77" i="9"/>
  <c r="O77" i="11" s="1"/>
  <c r="AH77" i="8"/>
  <c r="AA77" i="9" s="1"/>
  <c r="AD77" i="9" s="1"/>
  <c r="AX77" i="9" s="1"/>
  <c r="A89" i="12"/>
  <c r="I83" i="12"/>
  <c r="H84" i="12"/>
  <c r="H87" i="5"/>
  <c r="I87" i="5"/>
  <c r="AI88" i="23" s="1"/>
  <c r="F84" i="9"/>
  <c r="F84" i="3"/>
  <c r="I83" i="3"/>
  <c r="A89" i="11"/>
  <c r="Z85" i="3"/>
  <c r="A88" i="8"/>
  <c r="G87" i="5"/>
  <c r="F87" i="5"/>
  <c r="AF88" i="23" s="1"/>
  <c r="AO87" i="9" s="1"/>
  <c r="AD86" i="3" l="1"/>
  <c r="AN88" i="8"/>
  <c r="AU88" i="8"/>
  <c r="AM88" i="8"/>
  <c r="AT88" i="8"/>
  <c r="AL88" i="8"/>
  <c r="AS88" i="8"/>
  <c r="AR88" i="8"/>
  <c r="AQ88" i="8"/>
  <c r="AP88" i="8"/>
  <c r="AO88" i="8"/>
  <c r="AV88" i="8"/>
  <c r="AW88" i="8"/>
  <c r="AX88" i="8"/>
  <c r="AY88" i="8"/>
  <c r="AZ88" i="8"/>
  <c r="BA88" i="8"/>
  <c r="BB88" i="8"/>
  <c r="BC88" i="8"/>
  <c r="BD88" i="8"/>
  <c r="BE88" i="8"/>
  <c r="BF88" i="8"/>
  <c r="AK87" i="8"/>
  <c r="C86" i="8"/>
  <c r="D86" i="8" s="1"/>
  <c r="B86" i="8"/>
  <c r="AJ86" i="8" s="1"/>
  <c r="G86" i="8"/>
  <c r="AD85" i="3"/>
  <c r="Q89" i="5"/>
  <c r="C87" i="5"/>
  <c r="B87" i="5" s="1"/>
  <c r="AD88" i="23" s="1"/>
  <c r="E87" i="5"/>
  <c r="AE88" i="23" s="1"/>
  <c r="F87" i="12" s="1"/>
  <c r="L89" i="5"/>
  <c r="O89" i="5"/>
  <c r="AH88" i="23"/>
  <c r="U87" i="12" s="1"/>
  <c r="G85" i="9"/>
  <c r="R85" i="9" s="1"/>
  <c r="T89" i="5"/>
  <c r="A90" i="5"/>
  <c r="P90" i="5" s="1"/>
  <c r="M89" i="5"/>
  <c r="J88" i="5"/>
  <c r="G88" i="5" s="1"/>
  <c r="K89" i="5"/>
  <c r="P89" i="5"/>
  <c r="N89" i="5"/>
  <c r="R89" i="5"/>
  <c r="G85" i="3"/>
  <c r="N85" i="3" s="1"/>
  <c r="AJ85" i="3" s="1"/>
  <c r="AI83" i="3"/>
  <c r="AK83" i="3" s="1"/>
  <c r="AI84" i="3"/>
  <c r="AJ84" i="3"/>
  <c r="BT78" i="9"/>
  <c r="BU78" i="9" s="1"/>
  <c r="R78" i="11" s="1"/>
  <c r="BK78" i="9"/>
  <c r="BL78" i="9" s="1"/>
  <c r="G86" i="12"/>
  <c r="B86" i="5"/>
  <c r="AD87" i="23" s="1"/>
  <c r="G86" i="3" s="1"/>
  <c r="N86" i="3" s="1"/>
  <c r="AK81" i="9"/>
  <c r="AJ81" i="9"/>
  <c r="AL80" i="9"/>
  <c r="F86" i="12"/>
  <c r="E86" i="9"/>
  <c r="K84" i="9"/>
  <c r="AG88" i="23"/>
  <c r="AZ79" i="3"/>
  <c r="BA79" i="3" s="1"/>
  <c r="Z79" i="11" s="1"/>
  <c r="O80" i="9"/>
  <c r="D80" i="11" s="1"/>
  <c r="BN79" i="9"/>
  <c r="BX79" i="9"/>
  <c r="BY79" i="9" s="1"/>
  <c r="S79" i="11" s="1"/>
  <c r="P79" i="11" s="1"/>
  <c r="BC79" i="9"/>
  <c r="BQ79" i="9" s="1"/>
  <c r="BR79" i="9" s="1"/>
  <c r="H80" i="8"/>
  <c r="I80" i="8" s="1"/>
  <c r="J82" i="9"/>
  <c r="AJ83" i="23" s="1"/>
  <c r="AK83" i="23" s="1"/>
  <c r="Q82" i="9"/>
  <c r="J81" i="9"/>
  <c r="H81" i="8" s="1"/>
  <c r="I81" i="8" s="1"/>
  <c r="Q81" i="9"/>
  <c r="X80" i="9"/>
  <c r="L80" i="8" s="1"/>
  <c r="W80" i="9"/>
  <c r="BB80" i="9" s="1"/>
  <c r="G87" i="12"/>
  <c r="A93" i="6"/>
  <c r="AB94" i="22"/>
  <c r="T95" i="22"/>
  <c r="AC97" i="23"/>
  <c r="U98" i="23"/>
  <c r="U96" i="22"/>
  <c r="P95" i="6" s="1"/>
  <c r="AC95" i="22"/>
  <c r="P84" i="12"/>
  <c r="AC85" i="3"/>
  <c r="B85" i="3"/>
  <c r="K85" i="12"/>
  <c r="Z77" i="8"/>
  <c r="AE77" i="8" s="1"/>
  <c r="V77" i="3" s="1"/>
  <c r="Y77" i="3" s="1"/>
  <c r="AR77" i="3" s="1"/>
  <c r="BF77" i="3" s="1"/>
  <c r="BG77" i="3" s="1"/>
  <c r="W77" i="11" s="1"/>
  <c r="AA77" i="8"/>
  <c r="AC77" i="8" s="1"/>
  <c r="U77" i="3" s="1"/>
  <c r="X77" i="3" s="1"/>
  <c r="AO77" i="3" s="1"/>
  <c r="O82" i="3"/>
  <c r="J82" i="12"/>
  <c r="Q86" i="6"/>
  <c r="AD87" i="17" s="1"/>
  <c r="R86" i="6"/>
  <c r="AA87" i="17" s="1"/>
  <c r="Y88" i="6"/>
  <c r="T88" i="6"/>
  <c r="AA88" i="6"/>
  <c r="V88" i="6"/>
  <c r="U88" i="6"/>
  <c r="AC88" i="6"/>
  <c r="Z88" i="6"/>
  <c r="X88" i="6"/>
  <c r="W88" i="6"/>
  <c r="AB88" i="6"/>
  <c r="S87" i="6"/>
  <c r="AA84" i="7"/>
  <c r="B83" i="9" s="1"/>
  <c r="AU79" i="9"/>
  <c r="BV79" i="9" s="1"/>
  <c r="BW79" i="9" s="1"/>
  <c r="O79" i="11" s="1"/>
  <c r="V80" i="9"/>
  <c r="BA80" i="9" s="1"/>
  <c r="T80" i="9"/>
  <c r="W80" i="8" s="1"/>
  <c r="U80" i="9"/>
  <c r="AZ80" i="9" s="1"/>
  <c r="BM80" i="9" s="1"/>
  <c r="S80" i="9"/>
  <c r="K80" i="8" s="1"/>
  <c r="N80" i="8" s="1"/>
  <c r="O80" i="8" s="1"/>
  <c r="P80" i="8" s="1"/>
  <c r="O82" i="12"/>
  <c r="B82" i="12" s="1"/>
  <c r="AH82" i="9"/>
  <c r="AM82" i="9" s="1"/>
  <c r="AC84" i="7"/>
  <c r="AD84" i="7"/>
  <c r="Z78" i="8"/>
  <c r="AE78" i="8" s="1"/>
  <c r="V78" i="3" s="1"/>
  <c r="Y78" i="3" s="1"/>
  <c r="AR78" i="3" s="1"/>
  <c r="BF78" i="3" s="1"/>
  <c r="BG78" i="3" s="1"/>
  <c r="W78" i="11" s="1"/>
  <c r="AG82" i="9"/>
  <c r="M82" i="12"/>
  <c r="AD78" i="8"/>
  <c r="T78" i="3" s="1"/>
  <c r="W78" i="3" s="1"/>
  <c r="AL78" i="3" s="1"/>
  <c r="AN78" i="3" s="1"/>
  <c r="D85" i="6"/>
  <c r="C85" i="6" s="1"/>
  <c r="V79" i="8"/>
  <c r="X79" i="8" s="1"/>
  <c r="Y79" i="8" s="1"/>
  <c r="Z79" i="8" s="1"/>
  <c r="AE79" i="8" s="1"/>
  <c r="AR79" i="9"/>
  <c r="G86" i="6"/>
  <c r="M86" i="6"/>
  <c r="J86" i="6"/>
  <c r="L86" i="6"/>
  <c r="K86" i="6"/>
  <c r="E86" i="6"/>
  <c r="N86" i="6"/>
  <c r="I86" i="6"/>
  <c r="F86" i="6"/>
  <c r="H86" i="6"/>
  <c r="Q82" i="3"/>
  <c r="P80" i="9"/>
  <c r="L81" i="3"/>
  <c r="N81" i="9" s="1"/>
  <c r="K81" i="3"/>
  <c r="M81" i="3"/>
  <c r="M81" i="9" s="1"/>
  <c r="R81" i="3"/>
  <c r="AS81" i="3" s="1"/>
  <c r="J79" i="8"/>
  <c r="C84" i="6"/>
  <c r="B84" i="6"/>
  <c r="T81" i="8"/>
  <c r="S81" i="8" s="1"/>
  <c r="AG78" i="8"/>
  <c r="Y78" i="9" s="1"/>
  <c r="AB78" i="9" s="1"/>
  <c r="AQ78" i="9" s="1"/>
  <c r="AS78" i="9" s="1"/>
  <c r="Q78" i="8"/>
  <c r="R78" i="8"/>
  <c r="AF78" i="8" s="1"/>
  <c r="Z78" i="9" s="1"/>
  <c r="AC78" i="9" s="1"/>
  <c r="AT78" i="9" s="1"/>
  <c r="AV78" i="9" s="1"/>
  <c r="M87" i="8"/>
  <c r="AU87" i="3"/>
  <c r="BB78" i="3"/>
  <c r="BC78" i="3" s="1"/>
  <c r="X78" i="11" s="1"/>
  <c r="R77" i="8"/>
  <c r="AF77" i="8" s="1"/>
  <c r="Z77" i="9" s="1"/>
  <c r="AC77" i="9" s="1"/>
  <c r="AT77" i="9" s="1"/>
  <c r="AV77" i="9" s="1"/>
  <c r="AG79" i="8"/>
  <c r="Y79" i="9" s="1"/>
  <c r="AB79" i="9" s="1"/>
  <c r="AQ79" i="9" s="1"/>
  <c r="Q77" i="8"/>
  <c r="T77" i="3"/>
  <c r="W77" i="3" s="1"/>
  <c r="AL77" i="3" s="1"/>
  <c r="AG77" i="8"/>
  <c r="Y77" i="9" s="1"/>
  <c r="AB77" i="9" s="1"/>
  <c r="AQ77" i="9" s="1"/>
  <c r="AS77" i="9" s="1"/>
  <c r="J83" i="3"/>
  <c r="I84" i="12"/>
  <c r="A90" i="12"/>
  <c r="H85" i="12"/>
  <c r="I84" i="3"/>
  <c r="F85" i="9"/>
  <c r="F85" i="3"/>
  <c r="A90" i="11"/>
  <c r="Z86" i="3"/>
  <c r="A89" i="8"/>
  <c r="A91" i="5"/>
  <c r="G87" i="8" l="1"/>
  <c r="B87" i="8"/>
  <c r="AJ87" i="8" s="1"/>
  <c r="C87" i="8"/>
  <c r="D87" i="8" s="1"/>
  <c r="AK88" i="8"/>
  <c r="AT89" i="8"/>
  <c r="AL89" i="8"/>
  <c r="AS89" i="8"/>
  <c r="AR89" i="8"/>
  <c r="AQ89" i="8"/>
  <c r="AP89" i="8"/>
  <c r="AO89" i="8"/>
  <c r="AN89" i="8"/>
  <c r="AU89" i="8"/>
  <c r="AM89" i="8"/>
  <c r="AV89" i="8"/>
  <c r="AW89" i="8"/>
  <c r="AX89" i="8"/>
  <c r="AY89" i="8"/>
  <c r="AZ89" i="8"/>
  <c r="BA89" i="8"/>
  <c r="BB89" i="8"/>
  <c r="BC89" i="8"/>
  <c r="BD89" i="8"/>
  <c r="BE89" i="8"/>
  <c r="BF89" i="8"/>
  <c r="E87" i="3"/>
  <c r="E87" i="9"/>
  <c r="AD87" i="3"/>
  <c r="Q90" i="5"/>
  <c r="K85" i="9"/>
  <c r="L85" i="9" s="1"/>
  <c r="K90" i="5"/>
  <c r="M90" i="5"/>
  <c r="T90" i="5"/>
  <c r="N90" i="5"/>
  <c r="S90" i="5"/>
  <c r="O90" i="5"/>
  <c r="R90" i="5"/>
  <c r="L90" i="5"/>
  <c r="I88" i="5"/>
  <c r="AI89" i="23" s="1"/>
  <c r="C88" i="5"/>
  <c r="F88" i="5"/>
  <c r="AF89" i="23" s="1"/>
  <c r="AO88" i="9" s="1"/>
  <c r="E88" i="5"/>
  <c r="AE89" i="23" s="1"/>
  <c r="F88" i="12" s="1"/>
  <c r="D88" i="5"/>
  <c r="H88" i="5"/>
  <c r="J89" i="5"/>
  <c r="D89" i="5" s="1"/>
  <c r="AI85" i="3"/>
  <c r="AK85" i="3" s="1"/>
  <c r="AK84" i="3"/>
  <c r="AJ86" i="3"/>
  <c r="BT79" i="9"/>
  <c r="BU79" i="9" s="1"/>
  <c r="R79" i="11" s="1"/>
  <c r="BK79" i="9"/>
  <c r="BL79" i="9" s="1"/>
  <c r="E86" i="12"/>
  <c r="G86" i="9"/>
  <c r="R86" i="9" s="1"/>
  <c r="AK82" i="9"/>
  <c r="AJ82" i="9"/>
  <c r="AL81" i="9"/>
  <c r="L84" i="9"/>
  <c r="BN80" i="9"/>
  <c r="AG89" i="23"/>
  <c r="W82" i="9"/>
  <c r="BB82" i="9" s="1"/>
  <c r="X81" i="9"/>
  <c r="L81" i="8" s="1"/>
  <c r="X82" i="9"/>
  <c r="L82" i="8" s="1"/>
  <c r="H82" i="8"/>
  <c r="I82" i="8" s="1"/>
  <c r="AJ82" i="23"/>
  <c r="AK82" i="23" s="1"/>
  <c r="W81" i="9"/>
  <c r="BB81" i="9" s="1"/>
  <c r="AZ80" i="3"/>
  <c r="BA80" i="3" s="1"/>
  <c r="Z80" i="11" s="1"/>
  <c r="BC80" i="9"/>
  <c r="BQ80" i="9" s="1"/>
  <c r="BR80" i="9" s="1"/>
  <c r="BX80" i="9"/>
  <c r="BY80" i="9" s="1"/>
  <c r="S80" i="11" s="1"/>
  <c r="P80" i="11" s="1"/>
  <c r="J83" i="9"/>
  <c r="H83" i="8" s="1"/>
  <c r="I83" i="8" s="1"/>
  <c r="Q83" i="9"/>
  <c r="G87" i="3"/>
  <c r="N87" i="3" s="1"/>
  <c r="G87" i="9"/>
  <c r="E87" i="12"/>
  <c r="E88" i="9"/>
  <c r="E88" i="3"/>
  <c r="AC98" i="23"/>
  <c r="U99" i="23"/>
  <c r="A94" i="6"/>
  <c r="AB95" i="22"/>
  <c r="T96" i="22"/>
  <c r="U97" i="22"/>
  <c r="P96" i="6" s="1"/>
  <c r="AC96" i="22"/>
  <c r="P85" i="12"/>
  <c r="K86" i="12"/>
  <c r="B86" i="3"/>
  <c r="P86" i="12"/>
  <c r="H82" i="3"/>
  <c r="M82" i="3" s="1"/>
  <c r="M82" i="9" s="1"/>
  <c r="U82" i="9" s="1"/>
  <c r="AZ82" i="9" s="1"/>
  <c r="BM82" i="9" s="1"/>
  <c r="P82" i="3"/>
  <c r="AM82" i="3" s="1"/>
  <c r="H83" i="3"/>
  <c r="K83" i="3" s="1"/>
  <c r="J83" i="12"/>
  <c r="Q87" i="6"/>
  <c r="AD88" i="17" s="1"/>
  <c r="R87" i="6"/>
  <c r="AA88" i="17" s="1"/>
  <c r="AC89" i="6"/>
  <c r="X89" i="6"/>
  <c r="V89" i="6"/>
  <c r="W89" i="6"/>
  <c r="AB89" i="6"/>
  <c r="Y89" i="6"/>
  <c r="U89" i="6"/>
  <c r="AA89" i="6"/>
  <c r="T89" i="6"/>
  <c r="Z89" i="6"/>
  <c r="S88" i="6"/>
  <c r="AA85" i="7"/>
  <c r="AA86" i="7"/>
  <c r="B85" i="9" s="1"/>
  <c r="AU80" i="9"/>
  <c r="BV80" i="9" s="1"/>
  <c r="BW80" i="9" s="1"/>
  <c r="O80" i="11" s="1"/>
  <c r="V80" i="8"/>
  <c r="X80" i="8" s="1"/>
  <c r="Y80" i="8" s="1"/>
  <c r="AA80" i="8" s="1"/>
  <c r="AC80" i="8" s="1"/>
  <c r="J80" i="8"/>
  <c r="Q80" i="8" s="1"/>
  <c r="AR80" i="9"/>
  <c r="B85" i="6"/>
  <c r="AX78" i="3"/>
  <c r="M83" i="12"/>
  <c r="AG83" i="9"/>
  <c r="AC85" i="7"/>
  <c r="AD85" i="7"/>
  <c r="O83" i="12"/>
  <c r="B83" i="12" s="1"/>
  <c r="AH83" i="9"/>
  <c r="AM83" i="9" s="1"/>
  <c r="AS79" i="9"/>
  <c r="AD79" i="8"/>
  <c r="T79" i="3" s="1"/>
  <c r="W79" i="3" s="1"/>
  <c r="AL79" i="3" s="1"/>
  <c r="AA79" i="8"/>
  <c r="AC79" i="8" s="1"/>
  <c r="U79" i="3" s="1"/>
  <c r="X79" i="3" s="1"/>
  <c r="AO79" i="3" s="1"/>
  <c r="P81" i="9"/>
  <c r="I87" i="6"/>
  <c r="J87" i="6"/>
  <c r="M87" i="6"/>
  <c r="N87" i="6"/>
  <c r="H87" i="6"/>
  <c r="F87" i="6"/>
  <c r="K87" i="6"/>
  <c r="G87" i="6"/>
  <c r="E87" i="6"/>
  <c r="L87" i="6"/>
  <c r="V81" i="9"/>
  <c r="BA81" i="9" s="1"/>
  <c r="T81" i="9"/>
  <c r="W81" i="8" s="1"/>
  <c r="O81" i="9"/>
  <c r="D81" i="11" s="1"/>
  <c r="S81" i="9"/>
  <c r="K81" i="8" s="1"/>
  <c r="U81" i="9"/>
  <c r="AZ81" i="9" s="1"/>
  <c r="BM81" i="9" s="1"/>
  <c r="D86" i="6"/>
  <c r="AI78" i="8"/>
  <c r="Q78" i="12" s="1"/>
  <c r="BI78" i="9"/>
  <c r="BJ78" i="9" s="1"/>
  <c r="M88" i="8"/>
  <c r="AU88" i="3"/>
  <c r="BB77" i="3"/>
  <c r="BC77" i="3" s="1"/>
  <c r="X77" i="11" s="1"/>
  <c r="AN77" i="3"/>
  <c r="AX77" i="3"/>
  <c r="Q79" i="8"/>
  <c r="R79" i="8"/>
  <c r="AF79" i="8" s="1"/>
  <c r="Z79" i="9" s="1"/>
  <c r="AC79" i="9" s="1"/>
  <c r="AT79" i="9" s="1"/>
  <c r="AV79" i="9" s="1"/>
  <c r="AH79" i="8"/>
  <c r="AA79" i="9" s="1"/>
  <c r="AD79" i="9" s="1"/>
  <c r="AX79" i="9" s="1"/>
  <c r="AI77" i="8"/>
  <c r="Q77" i="12" s="1"/>
  <c r="V79" i="3"/>
  <c r="Y79" i="3" s="1"/>
  <c r="AR79" i="3" s="1"/>
  <c r="BF79" i="3" s="1"/>
  <c r="BG79" i="3" s="1"/>
  <c r="W79" i="11" s="1"/>
  <c r="BI77" i="9"/>
  <c r="BJ77" i="9" s="1"/>
  <c r="J84" i="3"/>
  <c r="A91" i="12"/>
  <c r="I85" i="12"/>
  <c r="H86" i="12"/>
  <c r="F86" i="3"/>
  <c r="F86" i="9"/>
  <c r="I85" i="3"/>
  <c r="A91" i="11"/>
  <c r="Z87" i="3"/>
  <c r="A90" i="8"/>
  <c r="P91" i="5"/>
  <c r="R91" i="5"/>
  <c r="K91" i="5"/>
  <c r="T91" i="5"/>
  <c r="M91" i="5"/>
  <c r="N91" i="5"/>
  <c r="L91" i="5"/>
  <c r="O91" i="5"/>
  <c r="S91" i="5"/>
  <c r="Q91" i="5"/>
  <c r="A92" i="5"/>
  <c r="AR90" i="8" l="1"/>
  <c r="AQ90" i="8"/>
  <c r="AP90" i="8"/>
  <c r="AO90" i="8"/>
  <c r="AN90" i="8"/>
  <c r="AU90" i="8"/>
  <c r="AM90" i="8"/>
  <c r="AT90" i="8"/>
  <c r="AL90" i="8"/>
  <c r="AS90" i="8"/>
  <c r="AV90" i="8"/>
  <c r="AW90" i="8"/>
  <c r="AX90" i="8"/>
  <c r="AY90" i="8"/>
  <c r="AZ90" i="8"/>
  <c r="BA90" i="8"/>
  <c r="BB90" i="8"/>
  <c r="BC90" i="8"/>
  <c r="BD90" i="8"/>
  <c r="BE90" i="8"/>
  <c r="BF90" i="8"/>
  <c r="C88" i="8"/>
  <c r="D88" i="8" s="1"/>
  <c r="B88" i="8"/>
  <c r="AJ88" i="8" s="1"/>
  <c r="G88" i="8"/>
  <c r="AK89" i="8"/>
  <c r="C89" i="5"/>
  <c r="J90" i="5"/>
  <c r="B88" i="5"/>
  <c r="AD89" i="23" s="1"/>
  <c r="E88" i="12" s="1"/>
  <c r="F89" i="5"/>
  <c r="AF90" i="23" s="1"/>
  <c r="AO89" i="9" s="1"/>
  <c r="G88" i="12"/>
  <c r="AH89" i="23"/>
  <c r="U88" i="12" s="1"/>
  <c r="I89" i="5"/>
  <c r="AI90" i="23" s="1"/>
  <c r="G89" i="5"/>
  <c r="AG90" i="23" s="1"/>
  <c r="E89" i="5"/>
  <c r="AE90" i="23" s="1"/>
  <c r="E89" i="9" s="1"/>
  <c r="H89" i="5"/>
  <c r="K86" i="9"/>
  <c r="AJ87" i="3"/>
  <c r="AY78" i="3"/>
  <c r="V78" i="11" s="1"/>
  <c r="BH78" i="3"/>
  <c r="BI78" i="3" s="1"/>
  <c r="AA78" i="11" s="1"/>
  <c r="H78" i="11" s="1"/>
  <c r="BT80" i="9"/>
  <c r="BU80" i="9" s="1"/>
  <c r="R80" i="11" s="1"/>
  <c r="BK80" i="9"/>
  <c r="BL80" i="9" s="1"/>
  <c r="AY77" i="3"/>
  <c r="V77" i="11" s="1"/>
  <c r="BH77" i="3"/>
  <c r="BI77" i="3" s="1"/>
  <c r="AA77" i="11" s="1"/>
  <c r="H77" i="11" s="1"/>
  <c r="AL82" i="9"/>
  <c r="AJ83" i="9"/>
  <c r="AK83" i="9"/>
  <c r="AZ81" i="3"/>
  <c r="BA81" i="3" s="1"/>
  <c r="Z81" i="11" s="1"/>
  <c r="BX81" i="9"/>
  <c r="BY81" i="9" s="1"/>
  <c r="S81" i="11" s="1"/>
  <c r="P81" i="11" s="1"/>
  <c r="BX82" i="9"/>
  <c r="BC81" i="9"/>
  <c r="BQ81" i="9" s="1"/>
  <c r="BR81" i="9" s="1"/>
  <c r="W83" i="9"/>
  <c r="BB83" i="9" s="1"/>
  <c r="X83" i="9"/>
  <c r="L83" i="8" s="1"/>
  <c r="AJ84" i="23"/>
  <c r="AK84" i="23" s="1"/>
  <c r="J85" i="9"/>
  <c r="AJ86" i="23" s="1"/>
  <c r="AK86" i="23" s="1"/>
  <c r="Q85" i="9"/>
  <c r="G88" i="3"/>
  <c r="N88" i="3" s="1"/>
  <c r="R87" i="9"/>
  <c r="E89" i="3"/>
  <c r="A95" i="6"/>
  <c r="AB96" i="22"/>
  <c r="T97" i="22"/>
  <c r="AC99" i="23"/>
  <c r="U100" i="23"/>
  <c r="U98" i="22"/>
  <c r="P97" i="6" s="1"/>
  <c r="AC97" i="22"/>
  <c r="T82" i="9"/>
  <c r="AC86" i="3"/>
  <c r="B87" i="3"/>
  <c r="K87" i="12"/>
  <c r="AC87" i="3"/>
  <c r="AI87" i="3" s="1"/>
  <c r="K82" i="3"/>
  <c r="L82" i="3"/>
  <c r="N82" i="9" s="1"/>
  <c r="T82" i="8"/>
  <c r="S82" i="8" s="1"/>
  <c r="O82" i="9"/>
  <c r="D82" i="11" s="1"/>
  <c r="V82" i="9"/>
  <c r="BA82" i="9" s="1"/>
  <c r="BC82" i="9" s="1"/>
  <c r="BQ82" i="9" s="1"/>
  <c r="O83" i="3"/>
  <c r="S82" i="9"/>
  <c r="K82" i="8" s="1"/>
  <c r="N82" i="8" s="1"/>
  <c r="O82" i="8" s="1"/>
  <c r="P82" i="8" s="1"/>
  <c r="AG82" i="8" s="1"/>
  <c r="Y82" i="9" s="1"/>
  <c r="AB82" i="9" s="1"/>
  <c r="R82" i="3"/>
  <c r="AS82" i="3" s="1"/>
  <c r="Q83" i="3"/>
  <c r="P83" i="3"/>
  <c r="J84" i="12"/>
  <c r="B84" i="9"/>
  <c r="Z90" i="6"/>
  <c r="X90" i="6"/>
  <c r="W90" i="6"/>
  <c r="V90" i="6"/>
  <c r="AB90" i="6"/>
  <c r="U90" i="6"/>
  <c r="AA90" i="6"/>
  <c r="Y90" i="6"/>
  <c r="T90" i="6"/>
  <c r="AC90" i="6"/>
  <c r="AD80" i="8"/>
  <c r="T80" i="3" s="1"/>
  <c r="W80" i="3" s="1"/>
  <c r="AL80" i="3" s="1"/>
  <c r="Q88" i="6"/>
  <c r="AD89" i="17" s="1"/>
  <c r="R88" i="6"/>
  <c r="AA89" i="17" s="1"/>
  <c r="S89" i="6"/>
  <c r="AC86" i="7"/>
  <c r="AD86" i="7"/>
  <c r="H85" i="3"/>
  <c r="J85" i="12"/>
  <c r="Z80" i="8"/>
  <c r="AE80" i="8" s="1"/>
  <c r="V80" i="3" s="1"/>
  <c r="Y80" i="3" s="1"/>
  <c r="AR80" i="3" s="1"/>
  <c r="BF80" i="3" s="1"/>
  <c r="BG80" i="3" s="1"/>
  <c r="W80" i="11" s="1"/>
  <c r="AH84" i="9"/>
  <c r="AM84" i="9" s="1"/>
  <c r="O84" i="12"/>
  <c r="B84" i="12" s="1"/>
  <c r="AG84" i="9"/>
  <c r="M84" i="12"/>
  <c r="M83" i="3"/>
  <c r="M83" i="9" s="1"/>
  <c r="O83" i="9" s="1"/>
  <c r="D83" i="11" s="1"/>
  <c r="D87" i="6"/>
  <c r="B87" i="6" s="1"/>
  <c r="AC88" i="7" s="1"/>
  <c r="Q84" i="3"/>
  <c r="P84" i="3"/>
  <c r="AM84" i="3" s="1"/>
  <c r="O84" i="3"/>
  <c r="H84" i="3"/>
  <c r="M84" i="3" s="1"/>
  <c r="M84" i="9" s="1"/>
  <c r="R83" i="3"/>
  <c r="AS83" i="3" s="1"/>
  <c r="L83" i="3"/>
  <c r="N83" i="9" s="1"/>
  <c r="AZ82" i="3"/>
  <c r="BA82" i="3" s="1"/>
  <c r="Z82" i="11" s="1"/>
  <c r="AU81" i="9"/>
  <c r="BV81" i="9" s="1"/>
  <c r="BW81" i="9" s="1"/>
  <c r="O81" i="11" s="1"/>
  <c r="BN81" i="9"/>
  <c r="B86" i="6"/>
  <c r="C86" i="6"/>
  <c r="J88" i="6"/>
  <c r="L88" i="6"/>
  <c r="M88" i="6"/>
  <c r="E88" i="6"/>
  <c r="N88" i="6"/>
  <c r="G88" i="6"/>
  <c r="H88" i="6"/>
  <c r="I88" i="6"/>
  <c r="K88" i="6"/>
  <c r="F88" i="6"/>
  <c r="AR81" i="9"/>
  <c r="N81" i="8"/>
  <c r="O81" i="8" s="1"/>
  <c r="J81" i="8"/>
  <c r="M89" i="8"/>
  <c r="AU89" i="3"/>
  <c r="AN79" i="3"/>
  <c r="AX79" i="3"/>
  <c r="BB79" i="3"/>
  <c r="BC79" i="3" s="1"/>
  <c r="X79" i="11" s="1"/>
  <c r="AH80" i="8"/>
  <c r="AA80" i="9" s="1"/>
  <c r="AD80" i="9" s="1"/>
  <c r="AX80" i="9" s="1"/>
  <c r="AI79" i="8"/>
  <c r="Q79" i="12" s="1"/>
  <c r="R80" i="8"/>
  <c r="AF80" i="8" s="1"/>
  <c r="Z80" i="9" s="1"/>
  <c r="AC80" i="9" s="1"/>
  <c r="AT80" i="9" s="1"/>
  <c r="AV80" i="9" s="1"/>
  <c r="AG80" i="8"/>
  <c r="Y80" i="9" s="1"/>
  <c r="AB80" i="9" s="1"/>
  <c r="AQ80" i="9" s="1"/>
  <c r="AS80" i="9" s="1"/>
  <c r="U80" i="3"/>
  <c r="X80" i="3" s="1"/>
  <c r="AO80" i="3" s="1"/>
  <c r="BI79" i="9"/>
  <c r="BJ79" i="9" s="1"/>
  <c r="J85" i="3"/>
  <c r="A92" i="12"/>
  <c r="I86" i="12"/>
  <c r="H87" i="12"/>
  <c r="H90" i="5"/>
  <c r="I90" i="5"/>
  <c r="AI91" i="23" s="1"/>
  <c r="F87" i="9"/>
  <c r="F87" i="3"/>
  <c r="I87" i="3" s="1"/>
  <c r="I86" i="3"/>
  <c r="A92" i="11"/>
  <c r="Z88" i="3"/>
  <c r="A91" i="8"/>
  <c r="J91" i="5"/>
  <c r="D90" i="5"/>
  <c r="F90" i="5"/>
  <c r="AF91" i="23" s="1"/>
  <c r="AO90" i="9" s="1"/>
  <c r="E90" i="5"/>
  <c r="AE91" i="23" s="1"/>
  <c r="G90" i="5"/>
  <c r="C90" i="5"/>
  <c r="N92" i="5"/>
  <c r="Q92" i="5"/>
  <c r="K92" i="5"/>
  <c r="T92" i="5"/>
  <c r="M92" i="5"/>
  <c r="P92" i="5"/>
  <c r="O92" i="5"/>
  <c r="S92" i="5"/>
  <c r="R92" i="5"/>
  <c r="L92" i="5"/>
  <c r="B89" i="5"/>
  <c r="AD90" i="23" s="1"/>
  <c r="A93" i="5"/>
  <c r="AK90" i="8" l="1"/>
  <c r="AP91" i="8"/>
  <c r="AO91" i="8"/>
  <c r="AN91" i="8"/>
  <c r="AU91" i="8"/>
  <c r="AM91" i="8"/>
  <c r="AT91" i="8"/>
  <c r="AL91" i="8"/>
  <c r="AS91" i="8"/>
  <c r="AR91" i="8"/>
  <c r="AQ91" i="8"/>
  <c r="AV91" i="8"/>
  <c r="AW91" i="8"/>
  <c r="AX91" i="8"/>
  <c r="AY91" i="8"/>
  <c r="AZ91" i="8"/>
  <c r="BA91" i="8"/>
  <c r="BB91" i="8"/>
  <c r="BC91" i="8"/>
  <c r="BD91" i="8"/>
  <c r="BE91" i="8"/>
  <c r="BF91" i="8"/>
  <c r="B89" i="8"/>
  <c r="AJ89" i="8" s="1"/>
  <c r="G89" i="8"/>
  <c r="C89" i="8"/>
  <c r="D89" i="8" s="1"/>
  <c r="AD88" i="3"/>
  <c r="G88" i="9"/>
  <c r="R88" i="9" s="1"/>
  <c r="G89" i="12"/>
  <c r="AH90" i="23"/>
  <c r="U89" i="12" s="1"/>
  <c r="AH91" i="23"/>
  <c r="U90" i="12" s="1"/>
  <c r="F89" i="12"/>
  <c r="AD89" i="3"/>
  <c r="L86" i="9"/>
  <c r="AI86" i="3"/>
  <c r="AK86" i="3" s="1"/>
  <c r="T83" i="8"/>
  <c r="S83" i="8" s="1"/>
  <c r="AM83" i="3"/>
  <c r="BX83" i="9" s="1"/>
  <c r="BY83" i="9" s="1"/>
  <c r="S83" i="11" s="1"/>
  <c r="P83" i="11" s="1"/>
  <c r="AK87" i="3"/>
  <c r="AJ88" i="3"/>
  <c r="BK81" i="9"/>
  <c r="BL81" i="9" s="1"/>
  <c r="AY79" i="3"/>
  <c r="V79" i="11" s="1"/>
  <c r="BH79" i="3"/>
  <c r="BI79" i="3" s="1"/>
  <c r="AA79" i="11" s="1"/>
  <c r="H79" i="11" s="1"/>
  <c r="AL83" i="9"/>
  <c r="AK84" i="9"/>
  <c r="AJ84" i="9"/>
  <c r="AG91" i="23"/>
  <c r="W85" i="9"/>
  <c r="BB85" i="9" s="1"/>
  <c r="X85" i="9"/>
  <c r="L85" i="8" s="1"/>
  <c r="H85" i="8"/>
  <c r="I85" i="8" s="1"/>
  <c r="J84" i="9"/>
  <c r="H84" i="8" s="1"/>
  <c r="I84" i="8" s="1"/>
  <c r="Q84" i="9"/>
  <c r="E90" i="9"/>
  <c r="E90" i="3"/>
  <c r="F90" i="12"/>
  <c r="G90" i="12"/>
  <c r="E89" i="12"/>
  <c r="G89" i="3"/>
  <c r="N89" i="3" s="1"/>
  <c r="G89" i="9"/>
  <c r="AC100" i="23"/>
  <c r="U101" i="23"/>
  <c r="A96" i="6"/>
  <c r="AB97" i="22"/>
  <c r="T98" i="22"/>
  <c r="U99" i="22"/>
  <c r="P98" i="6" s="1"/>
  <c r="AC98" i="22"/>
  <c r="P87" i="12"/>
  <c r="P82" i="9"/>
  <c r="B88" i="3"/>
  <c r="K88" i="12"/>
  <c r="AC88" i="3"/>
  <c r="AI88" i="3" s="1"/>
  <c r="AU82" i="9"/>
  <c r="BV82" i="9" s="1"/>
  <c r="BW82" i="9" s="1"/>
  <c r="O82" i="11" s="1"/>
  <c r="W82" i="8"/>
  <c r="BY82" i="9"/>
  <c r="S82" i="11" s="1"/>
  <c r="P82" i="11" s="1"/>
  <c r="BN82" i="9"/>
  <c r="BR82" i="9"/>
  <c r="J82" i="8"/>
  <c r="Q82" i="8" s="1"/>
  <c r="AQ82" i="9"/>
  <c r="AR82" i="9"/>
  <c r="V82" i="8"/>
  <c r="AB91" i="6"/>
  <c r="X91" i="6"/>
  <c r="Z91" i="6"/>
  <c r="AA91" i="6"/>
  <c r="Y91" i="6"/>
  <c r="W91" i="6"/>
  <c r="V91" i="6"/>
  <c r="AC91" i="6"/>
  <c r="T91" i="6"/>
  <c r="U91" i="6"/>
  <c r="R89" i="6"/>
  <c r="AA90" i="17" s="1"/>
  <c r="Q89" i="6"/>
  <c r="AD90" i="17" s="1"/>
  <c r="S90" i="6"/>
  <c r="L85" i="3"/>
  <c r="N85" i="9" s="1"/>
  <c r="P85" i="9" s="1"/>
  <c r="R85" i="3"/>
  <c r="AS85" i="3" s="1"/>
  <c r="AA87" i="7"/>
  <c r="J86" i="12" s="1"/>
  <c r="Q85" i="3"/>
  <c r="M85" i="12"/>
  <c r="AG85" i="9"/>
  <c r="AH85" i="9"/>
  <c r="AM85" i="9" s="1"/>
  <c r="O85" i="12"/>
  <c r="B85" i="12" s="1"/>
  <c r="AD88" i="7"/>
  <c r="AH87" i="9" s="1"/>
  <c r="AM87" i="9" s="1"/>
  <c r="O85" i="3"/>
  <c r="P85" i="3"/>
  <c r="T83" i="9"/>
  <c r="AC87" i="7"/>
  <c r="AD87" i="7"/>
  <c r="V83" i="9"/>
  <c r="BA83" i="9" s="1"/>
  <c r="BC83" i="9" s="1"/>
  <c r="BQ83" i="9" s="1"/>
  <c r="BR83" i="9" s="1"/>
  <c r="U83" i="9"/>
  <c r="AZ83" i="9" s="1"/>
  <c r="BM83" i="9" s="1"/>
  <c r="BN83" i="9" s="1"/>
  <c r="S83" i="9"/>
  <c r="K83" i="8" s="1"/>
  <c r="N83" i="8" s="1"/>
  <c r="O83" i="8" s="1"/>
  <c r="P83" i="8" s="1"/>
  <c r="C87" i="6"/>
  <c r="K84" i="3"/>
  <c r="D88" i="6"/>
  <c r="P83" i="9"/>
  <c r="E89" i="6"/>
  <c r="H89" i="6"/>
  <c r="I89" i="6"/>
  <c r="M89" i="6"/>
  <c r="J89" i="6"/>
  <c r="L89" i="6"/>
  <c r="N89" i="6"/>
  <c r="F89" i="6"/>
  <c r="G89" i="6"/>
  <c r="K89" i="6"/>
  <c r="T84" i="8"/>
  <c r="S84" i="8" s="1"/>
  <c r="P81" i="8"/>
  <c r="V81" i="8"/>
  <c r="X81" i="8" s="1"/>
  <c r="Y81" i="8" s="1"/>
  <c r="R84" i="3"/>
  <c r="AS84" i="3" s="1"/>
  <c r="L84" i="3"/>
  <c r="N84" i="9" s="1"/>
  <c r="BT81" i="9"/>
  <c r="M90" i="8"/>
  <c r="AU90" i="3"/>
  <c r="BB80" i="3"/>
  <c r="BC80" i="3" s="1"/>
  <c r="X80" i="11" s="1"/>
  <c r="AN80" i="3"/>
  <c r="AX80" i="3"/>
  <c r="AI80" i="8"/>
  <c r="Q80" i="12" s="1"/>
  <c r="AH82" i="8"/>
  <c r="AA82" i="9" s="1"/>
  <c r="AD82" i="9" s="1"/>
  <c r="AX82" i="9" s="1"/>
  <c r="K85" i="3"/>
  <c r="M85" i="3"/>
  <c r="M85" i="9" s="1"/>
  <c r="O85" i="9" s="1"/>
  <c r="D85" i="11" s="1"/>
  <c r="BI80" i="9"/>
  <c r="BJ80" i="9" s="1"/>
  <c r="J87" i="3"/>
  <c r="J86" i="3"/>
  <c r="M87" i="12"/>
  <c r="I87" i="12"/>
  <c r="A93" i="12"/>
  <c r="H88" i="12"/>
  <c r="I91" i="5"/>
  <c r="AI92" i="23" s="1"/>
  <c r="F88" i="9"/>
  <c r="F88" i="3"/>
  <c r="K87" i="9"/>
  <c r="AG87" i="9"/>
  <c r="A93" i="11"/>
  <c r="E91" i="5"/>
  <c r="AE92" i="23" s="1"/>
  <c r="H91" i="5"/>
  <c r="Z89" i="3"/>
  <c r="D91" i="5"/>
  <c r="G91" i="5"/>
  <c r="A92" i="8"/>
  <c r="C91" i="5"/>
  <c r="F91" i="5"/>
  <c r="AF92" i="23" s="1"/>
  <c r="AO91" i="9" s="1"/>
  <c r="B90" i="5"/>
  <c r="AD91" i="23" s="1"/>
  <c r="T93" i="5"/>
  <c r="L93" i="5"/>
  <c r="P93" i="5"/>
  <c r="K93" i="5"/>
  <c r="N93" i="5"/>
  <c r="S93" i="5"/>
  <c r="O93" i="5"/>
  <c r="M93" i="5"/>
  <c r="R93" i="5"/>
  <c r="Q93" i="5"/>
  <c r="J92" i="5"/>
  <c r="A94" i="5"/>
  <c r="AN92" i="8" l="1"/>
  <c r="AU92" i="8"/>
  <c r="AM92" i="8"/>
  <c r="AT92" i="8"/>
  <c r="AL92" i="8"/>
  <c r="AS92" i="8"/>
  <c r="AR92" i="8"/>
  <c r="AQ92" i="8"/>
  <c r="AP92" i="8"/>
  <c r="AO92" i="8"/>
  <c r="AV92" i="8"/>
  <c r="AW92" i="8"/>
  <c r="AX92" i="8"/>
  <c r="AY92" i="8"/>
  <c r="AZ92" i="8"/>
  <c r="BA92" i="8"/>
  <c r="BB92" i="8"/>
  <c r="BC92" i="8"/>
  <c r="BD92" i="8"/>
  <c r="BE92" i="8"/>
  <c r="BF92" i="8"/>
  <c r="AK91" i="8"/>
  <c r="B90" i="8"/>
  <c r="AJ90" i="8" s="1"/>
  <c r="C90" i="8"/>
  <c r="D90" i="8" s="1"/>
  <c r="G90" i="8"/>
  <c r="AD90" i="3"/>
  <c r="AH92" i="23"/>
  <c r="U91" i="12" s="1"/>
  <c r="W83" i="8"/>
  <c r="T85" i="8"/>
  <c r="S85" i="8" s="1"/>
  <c r="AM85" i="3"/>
  <c r="BX85" i="9" s="1"/>
  <c r="BY85" i="9" s="1"/>
  <c r="S85" i="11" s="1"/>
  <c r="P85" i="11" s="1"/>
  <c r="AK88" i="3"/>
  <c r="AJ89" i="3"/>
  <c r="AY80" i="3"/>
  <c r="V80" i="11" s="1"/>
  <c r="BH80" i="3"/>
  <c r="BI80" i="3" s="1"/>
  <c r="AA80" i="11" s="1"/>
  <c r="H80" i="11" s="1"/>
  <c r="BT82" i="9"/>
  <c r="BU82" i="9" s="1"/>
  <c r="R82" i="11" s="1"/>
  <c r="BK82" i="9"/>
  <c r="BL82" i="9" s="1"/>
  <c r="AJ87" i="9"/>
  <c r="AK87" i="9"/>
  <c r="AL84" i="9"/>
  <c r="AK85" i="9"/>
  <c r="AJ85" i="9"/>
  <c r="AG92" i="23"/>
  <c r="S84" i="9"/>
  <c r="K84" i="8" s="1"/>
  <c r="N84" i="8" s="1"/>
  <c r="O84" i="8" s="1"/>
  <c r="P84" i="8" s="1"/>
  <c r="W84" i="9"/>
  <c r="BB84" i="9" s="1"/>
  <c r="U84" i="9"/>
  <c r="AZ84" i="9" s="1"/>
  <c r="BM84" i="9" s="1"/>
  <c r="X84" i="9"/>
  <c r="L84" i="8" s="1"/>
  <c r="O84" i="9"/>
  <c r="D84" i="11" s="1"/>
  <c r="T84" i="9"/>
  <c r="AJ85" i="23"/>
  <c r="AK85" i="23" s="1"/>
  <c r="V84" i="9"/>
  <c r="BA84" i="9" s="1"/>
  <c r="AD91" i="3"/>
  <c r="E91" i="9"/>
  <c r="E91" i="3"/>
  <c r="F91" i="12"/>
  <c r="R89" i="9"/>
  <c r="G90" i="9"/>
  <c r="E90" i="12"/>
  <c r="G90" i="3"/>
  <c r="N90" i="3" s="1"/>
  <c r="G91" i="12"/>
  <c r="AC101" i="23"/>
  <c r="U102" i="23"/>
  <c r="A97" i="6"/>
  <c r="AB98" i="22"/>
  <c r="T99" i="22"/>
  <c r="U100" i="22"/>
  <c r="P99" i="6" s="1"/>
  <c r="AC99" i="22"/>
  <c r="AH81" i="8"/>
  <c r="AA81" i="9" s="1"/>
  <c r="AD81" i="9" s="1"/>
  <c r="AX81" i="9" s="1"/>
  <c r="AG81" i="8"/>
  <c r="Y81" i="9" s="1"/>
  <c r="AB81" i="9" s="1"/>
  <c r="AQ81" i="9" s="1"/>
  <c r="AS81" i="9" s="1"/>
  <c r="R82" i="8"/>
  <c r="AF82" i="8" s="1"/>
  <c r="Z82" i="9" s="1"/>
  <c r="AC82" i="9" s="1"/>
  <c r="AT82" i="9" s="1"/>
  <c r="AV82" i="9" s="1"/>
  <c r="P88" i="12"/>
  <c r="B89" i="3"/>
  <c r="K89" i="12"/>
  <c r="P89" i="12"/>
  <c r="B86" i="9"/>
  <c r="X82" i="8"/>
  <c r="Y82" i="8" s="1"/>
  <c r="Z82" i="8" s="1"/>
  <c r="AE82" i="8" s="1"/>
  <c r="V82" i="3" s="1"/>
  <c r="Y82" i="3" s="1"/>
  <c r="AR82" i="3" s="1"/>
  <c r="BF82" i="3" s="1"/>
  <c r="BG82" i="3" s="1"/>
  <c r="W82" i="11" s="1"/>
  <c r="AZ83" i="3"/>
  <c r="BA83" i="3" s="1"/>
  <c r="Z83" i="11" s="1"/>
  <c r="AS82" i="9"/>
  <c r="O86" i="3"/>
  <c r="R90" i="6"/>
  <c r="AA91" i="17" s="1"/>
  <c r="Q90" i="6"/>
  <c r="AD91" i="17" s="1"/>
  <c r="Y92" i="6"/>
  <c r="AB92" i="6"/>
  <c r="T92" i="6"/>
  <c r="V92" i="6"/>
  <c r="AA92" i="6"/>
  <c r="U92" i="6"/>
  <c r="Z92" i="6"/>
  <c r="X92" i="6"/>
  <c r="W92" i="6"/>
  <c r="AC92" i="6"/>
  <c r="S91" i="6"/>
  <c r="O87" i="12"/>
  <c r="B87" i="12" s="1"/>
  <c r="AA88" i="7"/>
  <c r="J87" i="12" s="1"/>
  <c r="AU83" i="9"/>
  <c r="BV83" i="9" s="1"/>
  <c r="BW83" i="9" s="1"/>
  <c r="O83" i="11" s="1"/>
  <c r="O86" i="12"/>
  <c r="B86" i="12" s="1"/>
  <c r="AH86" i="9"/>
  <c r="AM86" i="9" s="1"/>
  <c r="M86" i="12"/>
  <c r="AG86" i="9"/>
  <c r="AR83" i="9"/>
  <c r="V83" i="8"/>
  <c r="J83" i="8"/>
  <c r="R81" i="8"/>
  <c r="AF81" i="8" s="1"/>
  <c r="Q81" i="8"/>
  <c r="BU81" i="9"/>
  <c r="R81" i="11" s="1"/>
  <c r="P84" i="9"/>
  <c r="D89" i="6"/>
  <c r="B88" i="6"/>
  <c r="C88" i="6"/>
  <c r="AD81" i="8"/>
  <c r="T81" i="3" s="1"/>
  <c r="W81" i="3" s="1"/>
  <c r="AL81" i="3" s="1"/>
  <c r="Z81" i="8"/>
  <c r="AE81" i="8" s="1"/>
  <c r="V81" i="3" s="1"/>
  <c r="Y81" i="3" s="1"/>
  <c r="AR81" i="3" s="1"/>
  <c r="BF81" i="3" s="1"/>
  <c r="BG81" i="3" s="1"/>
  <c r="W81" i="11" s="1"/>
  <c r="AA81" i="8"/>
  <c r="AC81" i="8" s="1"/>
  <c r="U81" i="3" s="1"/>
  <c r="X81" i="3" s="1"/>
  <c r="AO81" i="3" s="1"/>
  <c r="I90" i="6"/>
  <c r="K90" i="6"/>
  <c r="N90" i="6"/>
  <c r="F90" i="6"/>
  <c r="H90" i="6"/>
  <c r="E90" i="6"/>
  <c r="L90" i="6"/>
  <c r="J90" i="6"/>
  <c r="G90" i="6"/>
  <c r="M90" i="6"/>
  <c r="H86" i="3"/>
  <c r="K86" i="3" s="1"/>
  <c r="P86" i="3"/>
  <c r="AM86" i="3" s="1"/>
  <c r="M91" i="8"/>
  <c r="AU91" i="3"/>
  <c r="AG83" i="8"/>
  <c r="Y83" i="9" s="1"/>
  <c r="AB83" i="9" s="1"/>
  <c r="AQ83" i="9" s="1"/>
  <c r="U85" i="9"/>
  <c r="AZ85" i="9" s="1"/>
  <c r="BM85" i="9" s="1"/>
  <c r="V85" i="9"/>
  <c r="BA85" i="9" s="1"/>
  <c r="BC85" i="9" s="1"/>
  <c r="BQ85" i="9" s="1"/>
  <c r="T85" i="9"/>
  <c r="S85" i="9"/>
  <c r="K85" i="8" s="1"/>
  <c r="N85" i="8" s="1"/>
  <c r="O85" i="8" s="1"/>
  <c r="P85" i="8" s="1"/>
  <c r="A94" i="12"/>
  <c r="I88" i="12"/>
  <c r="H89" i="12"/>
  <c r="H92" i="5"/>
  <c r="I92" i="5"/>
  <c r="AI93" i="23" s="1"/>
  <c r="L87" i="9"/>
  <c r="K88" i="9"/>
  <c r="F89" i="9"/>
  <c r="K89" i="9" s="1"/>
  <c r="F89" i="3"/>
  <c r="I88" i="3"/>
  <c r="A94" i="11"/>
  <c r="B91" i="5"/>
  <c r="AD92" i="23" s="1"/>
  <c r="Z90" i="3"/>
  <c r="A93" i="8"/>
  <c r="J93" i="5"/>
  <c r="R94" i="5"/>
  <c r="O94" i="5"/>
  <c r="L94" i="5"/>
  <c r="K94" i="5"/>
  <c r="N94" i="5"/>
  <c r="M94" i="5"/>
  <c r="Q94" i="5"/>
  <c r="P94" i="5"/>
  <c r="S94" i="5"/>
  <c r="T94" i="5"/>
  <c r="E92" i="5"/>
  <c r="AE93" i="23" s="1"/>
  <c r="D92" i="5"/>
  <c r="C92" i="5"/>
  <c r="G92" i="5"/>
  <c r="F92" i="5"/>
  <c r="AF93" i="23" s="1"/>
  <c r="AO92" i="9" s="1"/>
  <c r="A95" i="5"/>
  <c r="G91" i="8" l="1"/>
  <c r="C91" i="8"/>
  <c r="D91" i="8" s="1"/>
  <c r="B91" i="8"/>
  <c r="AJ91" i="8" s="1"/>
  <c r="AK92" i="8"/>
  <c r="AT93" i="8"/>
  <c r="AL93" i="8"/>
  <c r="AS93" i="8"/>
  <c r="AR93" i="8"/>
  <c r="AQ93" i="8"/>
  <c r="AP93" i="8"/>
  <c r="AO93" i="8"/>
  <c r="AN93" i="8"/>
  <c r="AU93" i="8"/>
  <c r="AM93" i="8"/>
  <c r="AV93" i="8"/>
  <c r="AW93" i="8"/>
  <c r="AX93" i="8"/>
  <c r="AY93" i="8"/>
  <c r="AZ93" i="8"/>
  <c r="BA93" i="8"/>
  <c r="BB93" i="8"/>
  <c r="BC93" i="8"/>
  <c r="BD93" i="8"/>
  <c r="BE93" i="8"/>
  <c r="BF93" i="8"/>
  <c r="AH93" i="23"/>
  <c r="U92" i="12" s="1"/>
  <c r="X83" i="8"/>
  <c r="Y83" i="8" s="1"/>
  <c r="Z83" i="8" s="1"/>
  <c r="AE83" i="8" s="1"/>
  <c r="V83" i="3" s="1"/>
  <c r="Y83" i="3" s="1"/>
  <c r="AR83" i="3" s="1"/>
  <c r="BF83" i="3" s="1"/>
  <c r="BG83" i="3" s="1"/>
  <c r="W83" i="11" s="1"/>
  <c r="W85" i="8"/>
  <c r="AJ90" i="3"/>
  <c r="BT83" i="9"/>
  <c r="BU83" i="9" s="1"/>
  <c r="R83" i="11" s="1"/>
  <c r="BK83" i="9"/>
  <c r="BL83" i="9" s="1"/>
  <c r="AU84" i="9"/>
  <c r="BV84" i="9" s="1"/>
  <c r="BW84" i="9" s="1"/>
  <c r="O84" i="11" s="1"/>
  <c r="AL85" i="9"/>
  <c r="AU85" i="9" s="1"/>
  <c r="BV85" i="9" s="1"/>
  <c r="BW85" i="9" s="1"/>
  <c r="O85" i="11" s="1"/>
  <c r="AK86" i="9"/>
  <c r="AJ86" i="9"/>
  <c r="AL87" i="9"/>
  <c r="AR84" i="9"/>
  <c r="AG93" i="23"/>
  <c r="W84" i="8"/>
  <c r="BX84" i="9"/>
  <c r="BY84" i="9" s="1"/>
  <c r="S84" i="11" s="1"/>
  <c r="P84" i="11" s="1"/>
  <c r="BN84" i="9"/>
  <c r="AZ84" i="3"/>
  <c r="BA84" i="3" s="1"/>
  <c r="Z84" i="11" s="1"/>
  <c r="BC84" i="9"/>
  <c r="BQ84" i="9" s="1"/>
  <c r="BR84" i="9" s="1"/>
  <c r="J86" i="9"/>
  <c r="AJ87" i="23" s="1"/>
  <c r="AK87" i="23" s="1"/>
  <c r="Q86" i="9"/>
  <c r="G92" i="12"/>
  <c r="F92" i="12"/>
  <c r="E92" i="9"/>
  <c r="E92" i="3"/>
  <c r="R90" i="9"/>
  <c r="G91" i="3"/>
  <c r="N91" i="3" s="1"/>
  <c r="E91" i="12"/>
  <c r="G91" i="9"/>
  <c r="A98" i="6"/>
  <c r="AB99" i="22"/>
  <c r="T100" i="22"/>
  <c r="AC102" i="23"/>
  <c r="U103" i="23"/>
  <c r="U101" i="22"/>
  <c r="P100" i="6" s="1"/>
  <c r="AC100" i="22"/>
  <c r="AA82" i="8"/>
  <c r="AC82" i="8" s="1"/>
  <c r="U82" i="3" s="1"/>
  <c r="X82" i="3" s="1"/>
  <c r="AO82" i="3" s="1"/>
  <c r="BB82" i="3" s="1"/>
  <c r="BC82" i="3" s="1"/>
  <c r="X82" i="11" s="1"/>
  <c r="BI82" i="9"/>
  <c r="BJ82" i="9" s="1"/>
  <c r="AI82" i="8"/>
  <c r="Q82" i="12" s="1"/>
  <c r="AD82" i="8"/>
  <c r="T82" i="3" s="1"/>
  <c r="W82" i="3" s="1"/>
  <c r="AL82" i="3" s="1"/>
  <c r="AN82" i="3" s="1"/>
  <c r="AC89" i="3"/>
  <c r="P90" i="12"/>
  <c r="B90" i="3"/>
  <c r="K90" i="12"/>
  <c r="AZ85" i="3"/>
  <c r="BA85" i="3" s="1"/>
  <c r="Z85" i="11" s="1"/>
  <c r="Q86" i="3"/>
  <c r="B87" i="9"/>
  <c r="O87" i="3"/>
  <c r="S92" i="6"/>
  <c r="AC93" i="6"/>
  <c r="AB93" i="6"/>
  <c r="U93" i="6"/>
  <c r="V93" i="6"/>
  <c r="T93" i="6"/>
  <c r="Y93" i="6"/>
  <c r="W93" i="6"/>
  <c r="Z93" i="6"/>
  <c r="X93" i="6"/>
  <c r="AA93" i="6"/>
  <c r="Q91" i="6"/>
  <c r="AD92" i="17" s="1"/>
  <c r="R91" i="6"/>
  <c r="AA92" i="17" s="1"/>
  <c r="AA89" i="7"/>
  <c r="J88" i="12" s="1"/>
  <c r="AD89" i="7"/>
  <c r="AC89" i="7"/>
  <c r="M86" i="3"/>
  <c r="M86" i="9" s="1"/>
  <c r="AS83" i="9"/>
  <c r="Q87" i="3"/>
  <c r="P87" i="3"/>
  <c r="AM87" i="3" s="1"/>
  <c r="H87" i="3"/>
  <c r="B89" i="6"/>
  <c r="C89" i="6"/>
  <c r="T86" i="8"/>
  <c r="D90" i="6"/>
  <c r="I91" i="6"/>
  <c r="G91" i="6"/>
  <c r="N91" i="6"/>
  <c r="L91" i="6"/>
  <c r="M91" i="6"/>
  <c r="J91" i="6"/>
  <c r="F91" i="6"/>
  <c r="K91" i="6"/>
  <c r="H91" i="6"/>
  <c r="E91" i="6"/>
  <c r="AN81" i="3"/>
  <c r="AX81" i="3"/>
  <c r="BB81" i="3"/>
  <c r="BC81" i="3" s="1"/>
  <c r="X81" i="11" s="1"/>
  <c r="L86" i="3"/>
  <c r="N86" i="9" s="1"/>
  <c r="R86" i="3"/>
  <c r="AS86" i="3" s="1"/>
  <c r="Z81" i="9"/>
  <c r="AC81" i="9" s="1"/>
  <c r="AT81" i="9" s="1"/>
  <c r="AI81" i="8"/>
  <c r="Q81" i="12" s="1"/>
  <c r="M92" i="8"/>
  <c r="AU92" i="3"/>
  <c r="AH83" i="8"/>
  <c r="AA83" i="9" s="1"/>
  <c r="AD83" i="9" s="1"/>
  <c r="AX83" i="9" s="1"/>
  <c r="Q83" i="8"/>
  <c r="R83" i="8"/>
  <c r="AF83" i="8" s="1"/>
  <c r="Z83" i="9" s="1"/>
  <c r="AC83" i="9" s="1"/>
  <c r="AT83" i="9" s="1"/>
  <c r="AV83" i="9" s="1"/>
  <c r="BN85" i="9"/>
  <c r="BR85" i="9"/>
  <c r="V85" i="8"/>
  <c r="J85" i="8"/>
  <c r="V84" i="8"/>
  <c r="J84" i="8"/>
  <c r="AR85" i="9"/>
  <c r="L88" i="9"/>
  <c r="J88" i="3"/>
  <c r="A95" i="12"/>
  <c r="I89" i="12"/>
  <c r="H90" i="12"/>
  <c r="H93" i="5"/>
  <c r="I93" i="5"/>
  <c r="AI94" i="23" s="1"/>
  <c r="L89" i="9"/>
  <c r="F90" i="9"/>
  <c r="K90" i="9" s="1"/>
  <c r="F90" i="3"/>
  <c r="I89" i="3"/>
  <c r="A95" i="11"/>
  <c r="Z91" i="3"/>
  <c r="A94" i="8"/>
  <c r="B92" i="5"/>
  <c r="AD93" i="23" s="1"/>
  <c r="P95" i="5"/>
  <c r="N95" i="5"/>
  <c r="L95" i="5"/>
  <c r="K95" i="5"/>
  <c r="O95" i="5"/>
  <c r="S95" i="5"/>
  <c r="R95" i="5"/>
  <c r="T95" i="5"/>
  <c r="Q95" i="5"/>
  <c r="M95" i="5"/>
  <c r="J94" i="5"/>
  <c r="D93" i="5"/>
  <c r="F93" i="5"/>
  <c r="AF94" i="23" s="1"/>
  <c r="C93" i="5"/>
  <c r="G93" i="5"/>
  <c r="E93" i="5"/>
  <c r="AE94" i="23" s="1"/>
  <c r="A96" i="5"/>
  <c r="AR94" i="8" l="1"/>
  <c r="AQ94" i="8"/>
  <c r="AP94" i="8"/>
  <c r="AO94" i="8"/>
  <c r="AN94" i="8"/>
  <c r="AU94" i="8"/>
  <c r="AM94" i="8"/>
  <c r="AT94" i="8"/>
  <c r="AL94" i="8"/>
  <c r="AS94" i="8"/>
  <c r="AV94" i="8"/>
  <c r="AW94" i="8"/>
  <c r="AX94" i="8"/>
  <c r="AY94" i="8"/>
  <c r="AZ94" i="8"/>
  <c r="BA94" i="8"/>
  <c r="BB94" i="8"/>
  <c r="BC94" i="8"/>
  <c r="BD94" i="8"/>
  <c r="BE94" i="8"/>
  <c r="BF94" i="8"/>
  <c r="C92" i="8"/>
  <c r="D92" i="8" s="1"/>
  <c r="B92" i="8"/>
  <c r="AJ92" i="8" s="1"/>
  <c r="G92" i="8"/>
  <c r="AK93" i="8"/>
  <c r="AD92" i="3"/>
  <c r="AH94" i="23"/>
  <c r="U93" i="12" s="1"/>
  <c r="AD83" i="8"/>
  <c r="T83" i="3" s="1"/>
  <c r="W83" i="3" s="1"/>
  <c r="AL83" i="3" s="1"/>
  <c r="AX83" i="3" s="1"/>
  <c r="AA83" i="8"/>
  <c r="AC83" i="8" s="1"/>
  <c r="U83" i="3" s="1"/>
  <c r="X83" i="3" s="1"/>
  <c r="AO83" i="3" s="1"/>
  <c r="BB83" i="3" s="1"/>
  <c r="BC83" i="3" s="1"/>
  <c r="X83" i="11" s="1"/>
  <c r="AI89" i="3"/>
  <c r="AK89" i="3" s="1"/>
  <c r="X85" i="8"/>
  <c r="Y85" i="8" s="1"/>
  <c r="Z85" i="8" s="1"/>
  <c r="AE85" i="8" s="1"/>
  <c r="AJ91" i="3"/>
  <c r="AY81" i="3"/>
  <c r="V81" i="11" s="1"/>
  <c r="BH81" i="3"/>
  <c r="BI81" i="3" s="1"/>
  <c r="AA81" i="11" s="1"/>
  <c r="BT85" i="9"/>
  <c r="BU85" i="9" s="1"/>
  <c r="R85" i="11" s="1"/>
  <c r="BK85" i="9"/>
  <c r="BL85" i="9" s="1"/>
  <c r="BT84" i="9"/>
  <c r="BU84" i="9" s="1"/>
  <c r="R84" i="11" s="1"/>
  <c r="BK84" i="9"/>
  <c r="BL84" i="9" s="1"/>
  <c r="AL86" i="9"/>
  <c r="H86" i="8"/>
  <c r="I86" i="8" s="1"/>
  <c r="X84" i="8"/>
  <c r="Y84" i="8" s="1"/>
  <c r="AA84" i="8" s="1"/>
  <c r="AC84" i="8" s="1"/>
  <c r="AG94" i="23"/>
  <c r="O86" i="9"/>
  <c r="D86" i="11" s="1"/>
  <c r="W86" i="9"/>
  <c r="BB86" i="9" s="1"/>
  <c r="X86" i="9"/>
  <c r="L86" i="8" s="1"/>
  <c r="J87" i="9"/>
  <c r="W87" i="9" s="1"/>
  <c r="BB87" i="9" s="1"/>
  <c r="Q87" i="9"/>
  <c r="AO93" i="9"/>
  <c r="G93" i="12"/>
  <c r="E93" i="9"/>
  <c r="E93" i="3"/>
  <c r="F93" i="12"/>
  <c r="E92" i="12"/>
  <c r="G92" i="9"/>
  <c r="G92" i="3"/>
  <c r="N92" i="3" s="1"/>
  <c r="R91" i="9"/>
  <c r="AC103" i="23"/>
  <c r="U104" i="23"/>
  <c r="A99" i="6"/>
  <c r="AB100" i="22"/>
  <c r="T101" i="22"/>
  <c r="U102" i="22"/>
  <c r="P101" i="6" s="1"/>
  <c r="AC101" i="22"/>
  <c r="AX82" i="3"/>
  <c r="AC90" i="3"/>
  <c r="B91" i="3"/>
  <c r="K91" i="12"/>
  <c r="P91" i="12"/>
  <c r="B88" i="9"/>
  <c r="S93" i="6"/>
  <c r="R93" i="6" s="1"/>
  <c r="AA94" i="17" s="1"/>
  <c r="S86" i="8"/>
  <c r="P88" i="3"/>
  <c r="AM88" i="3" s="1"/>
  <c r="X94" i="6"/>
  <c r="Z94" i="6"/>
  <c r="Y94" i="6"/>
  <c r="U94" i="6"/>
  <c r="T94" i="6"/>
  <c r="AA94" i="6"/>
  <c r="AB94" i="6"/>
  <c r="W94" i="6"/>
  <c r="V94" i="6"/>
  <c r="AC94" i="6"/>
  <c r="Q92" i="6"/>
  <c r="AD93" i="17" s="1"/>
  <c r="R92" i="6"/>
  <c r="AA93" i="17" s="1"/>
  <c r="AA90" i="7"/>
  <c r="B89" i="9" s="1"/>
  <c r="S86" i="9"/>
  <c r="K86" i="8" s="1"/>
  <c r="N86" i="8" s="1"/>
  <c r="O86" i="8" s="1"/>
  <c r="P86" i="8" s="1"/>
  <c r="U86" i="9"/>
  <c r="AZ86" i="9" s="1"/>
  <c r="BM86" i="9" s="1"/>
  <c r="V86" i="9"/>
  <c r="BA86" i="9" s="1"/>
  <c r="T86" i="9"/>
  <c r="AG88" i="9"/>
  <c r="M88" i="12"/>
  <c r="AD90" i="7"/>
  <c r="AC90" i="7"/>
  <c r="O88" i="12"/>
  <c r="B88" i="12" s="1"/>
  <c r="AH88" i="9"/>
  <c r="AM88" i="9" s="1"/>
  <c r="L87" i="3"/>
  <c r="N87" i="9" s="1"/>
  <c r="M87" i="3"/>
  <c r="M87" i="9" s="1"/>
  <c r="R87" i="3"/>
  <c r="AS87" i="3" s="1"/>
  <c r="T87" i="8"/>
  <c r="S87" i="8" s="1"/>
  <c r="K87" i="3"/>
  <c r="AV81" i="9"/>
  <c r="BI81" i="9"/>
  <c r="BJ81" i="9" s="1"/>
  <c r="C90" i="6"/>
  <c r="B90" i="6"/>
  <c r="N92" i="6"/>
  <c r="I92" i="6"/>
  <c r="H92" i="6"/>
  <c r="G92" i="6"/>
  <c r="M92" i="6"/>
  <c r="J92" i="6"/>
  <c r="L92" i="6"/>
  <c r="F92" i="6"/>
  <c r="K92" i="6"/>
  <c r="E92" i="6"/>
  <c r="P86" i="9"/>
  <c r="H88" i="3"/>
  <c r="M88" i="3" s="1"/>
  <c r="M88" i="9" s="1"/>
  <c r="O88" i="3"/>
  <c r="D91" i="6"/>
  <c r="M93" i="8"/>
  <c r="AU93" i="3"/>
  <c r="AI83" i="8"/>
  <c r="Q83" i="12" s="1"/>
  <c r="Q85" i="8"/>
  <c r="AH84" i="8"/>
  <c r="AA84" i="9" s="1"/>
  <c r="AD84" i="9" s="1"/>
  <c r="AX84" i="9" s="1"/>
  <c r="BI83" i="9"/>
  <c r="BJ83" i="9" s="1"/>
  <c r="L90" i="9"/>
  <c r="I90" i="12"/>
  <c r="A96" i="12"/>
  <c r="H91" i="12"/>
  <c r="H94" i="5"/>
  <c r="I94" i="5"/>
  <c r="AI95" i="23" s="1"/>
  <c r="I90" i="3"/>
  <c r="J89" i="3"/>
  <c r="F91" i="9"/>
  <c r="K91" i="9" s="1"/>
  <c r="F91" i="3"/>
  <c r="A96" i="11"/>
  <c r="Z92" i="3"/>
  <c r="A95" i="8"/>
  <c r="B93" i="5"/>
  <c r="AD94" i="23" s="1"/>
  <c r="J95" i="5"/>
  <c r="F94" i="5"/>
  <c r="AF95" i="23" s="1"/>
  <c r="AO94" i="9" s="1"/>
  <c r="C94" i="5"/>
  <c r="E94" i="5"/>
  <c r="AE95" i="23" s="1"/>
  <c r="G94" i="5"/>
  <c r="D94" i="5"/>
  <c r="N96" i="5"/>
  <c r="M96" i="5"/>
  <c r="L96" i="5"/>
  <c r="K96" i="5"/>
  <c r="P96" i="5"/>
  <c r="O96" i="5"/>
  <c r="R96" i="5"/>
  <c r="Q96" i="5"/>
  <c r="T96" i="5"/>
  <c r="S96" i="5"/>
  <c r="A97" i="5"/>
  <c r="AK94" i="8" l="1"/>
  <c r="AP95" i="8"/>
  <c r="AO95" i="8"/>
  <c r="AN95" i="8"/>
  <c r="AU95" i="8"/>
  <c r="AM95" i="8"/>
  <c r="AT95" i="8"/>
  <c r="AL95" i="8"/>
  <c r="AS95" i="8"/>
  <c r="AR95" i="8"/>
  <c r="AQ95" i="8"/>
  <c r="AV95" i="8"/>
  <c r="AW95" i="8"/>
  <c r="AX95" i="8"/>
  <c r="AY95" i="8"/>
  <c r="AZ95" i="8"/>
  <c r="BA95" i="8"/>
  <c r="BB95" i="8"/>
  <c r="BC95" i="8"/>
  <c r="BD95" i="8"/>
  <c r="BE95" i="8"/>
  <c r="BF95" i="8"/>
  <c r="G93" i="8"/>
  <c r="B93" i="8"/>
  <c r="AJ93" i="8" s="1"/>
  <c r="C93" i="8"/>
  <c r="D93" i="8" s="1"/>
  <c r="AD93" i="3"/>
  <c r="AN83" i="3"/>
  <c r="AH95" i="23"/>
  <c r="U94" i="12" s="1"/>
  <c r="AD85" i="8"/>
  <c r="T85" i="3" s="1"/>
  <c r="W85" i="3" s="1"/>
  <c r="AL85" i="3" s="1"/>
  <c r="AA85" i="8"/>
  <c r="AC85" i="8" s="1"/>
  <c r="U85" i="3" s="1"/>
  <c r="X85" i="3" s="1"/>
  <c r="AO85" i="3" s="1"/>
  <c r="AI90" i="3"/>
  <c r="AK90" i="3" s="1"/>
  <c r="H81" i="11"/>
  <c r="AJ92" i="3"/>
  <c r="AY82" i="3"/>
  <c r="V82" i="11" s="1"/>
  <c r="BH82" i="3"/>
  <c r="BI82" i="3" s="1"/>
  <c r="AA82" i="11" s="1"/>
  <c r="H82" i="11" s="1"/>
  <c r="AY83" i="3"/>
  <c r="V83" i="11" s="1"/>
  <c r="BH83" i="3"/>
  <c r="BI83" i="3" s="1"/>
  <c r="AA83" i="11" s="1"/>
  <c r="H83" i="11" s="1"/>
  <c r="AJ88" i="9"/>
  <c r="AK88" i="9"/>
  <c r="AD84" i="8"/>
  <c r="T84" i="3" s="1"/>
  <c r="W84" i="3" s="1"/>
  <c r="AL84" i="3" s="1"/>
  <c r="Z84" i="8"/>
  <c r="AE84" i="8" s="1"/>
  <c r="V84" i="3" s="1"/>
  <c r="Y84" i="3" s="1"/>
  <c r="AR84" i="3" s="1"/>
  <c r="BF84" i="3" s="1"/>
  <c r="BG84" i="3" s="1"/>
  <c r="W84" i="11" s="1"/>
  <c r="AG95" i="23"/>
  <c r="BN86" i="9"/>
  <c r="BC86" i="9"/>
  <c r="BQ86" i="9" s="1"/>
  <c r="BR86" i="9" s="1"/>
  <c r="X87" i="9"/>
  <c r="L87" i="8" s="1"/>
  <c r="AJ88" i="23"/>
  <c r="AK88" i="23" s="1"/>
  <c r="BX86" i="9"/>
  <c r="BY86" i="9" s="1"/>
  <c r="S86" i="11" s="1"/>
  <c r="P86" i="11" s="1"/>
  <c r="AZ86" i="3"/>
  <c r="BA86" i="3" s="1"/>
  <c r="Z86" i="11" s="1"/>
  <c r="H87" i="8"/>
  <c r="I87" i="8" s="1"/>
  <c r="J88" i="9"/>
  <c r="H88" i="8" s="1"/>
  <c r="I88" i="8" s="1"/>
  <c r="Q88" i="9"/>
  <c r="J89" i="9"/>
  <c r="AJ90" i="23" s="1"/>
  <c r="AK90" i="23" s="1"/>
  <c r="Q89" i="9"/>
  <c r="R92" i="9"/>
  <c r="G94" i="12"/>
  <c r="AD94" i="3"/>
  <c r="E93" i="12"/>
  <c r="G93" i="3"/>
  <c r="N93" i="3" s="1"/>
  <c r="G93" i="9"/>
  <c r="F94" i="12"/>
  <c r="E94" i="9"/>
  <c r="E94" i="3"/>
  <c r="A100" i="6"/>
  <c r="AB101" i="22"/>
  <c r="T102" i="22"/>
  <c r="AC104" i="23"/>
  <c r="U105" i="23"/>
  <c r="U103" i="22"/>
  <c r="P102" i="6" s="1"/>
  <c r="AC102" i="22"/>
  <c r="AC91" i="3"/>
  <c r="K92" i="12"/>
  <c r="B92" i="3"/>
  <c r="AC92" i="3"/>
  <c r="AI92" i="3" s="1"/>
  <c r="B93" i="3"/>
  <c r="K93" i="12"/>
  <c r="Q93" i="6"/>
  <c r="AD94" i="17" s="1"/>
  <c r="AR86" i="9"/>
  <c r="J89" i="12"/>
  <c r="Q88" i="3"/>
  <c r="AB95" i="6"/>
  <c r="Y95" i="6"/>
  <c r="Z95" i="6"/>
  <c r="U95" i="6"/>
  <c r="T95" i="6"/>
  <c r="AC95" i="6"/>
  <c r="X95" i="6"/>
  <c r="W95" i="6"/>
  <c r="V95" i="6"/>
  <c r="AA95" i="6"/>
  <c r="S94" i="6"/>
  <c r="AA91" i="7"/>
  <c r="J90" i="12" s="1"/>
  <c r="V86" i="8"/>
  <c r="J86" i="8"/>
  <c r="R86" i="8" s="1"/>
  <c r="AF86" i="8" s="1"/>
  <c r="AU86" i="9"/>
  <c r="BV86" i="9" s="1"/>
  <c r="BW86" i="9" s="1"/>
  <c r="O86" i="11" s="1"/>
  <c r="W86" i="8"/>
  <c r="O89" i="12"/>
  <c r="B89" i="12" s="1"/>
  <c r="AH89" i="9"/>
  <c r="AM89" i="9" s="1"/>
  <c r="AD91" i="7"/>
  <c r="AC91" i="7"/>
  <c r="M89" i="12"/>
  <c r="AG89" i="9"/>
  <c r="T87" i="9"/>
  <c r="W87" i="8" s="1"/>
  <c r="S87" i="9"/>
  <c r="K87" i="8" s="1"/>
  <c r="U87" i="9"/>
  <c r="AZ87" i="9" s="1"/>
  <c r="BM87" i="9" s="1"/>
  <c r="V87" i="9"/>
  <c r="BA87" i="9" s="1"/>
  <c r="BC87" i="9" s="1"/>
  <c r="BQ87" i="9" s="1"/>
  <c r="O87" i="9"/>
  <c r="D87" i="11" s="1"/>
  <c r="P87" i="9"/>
  <c r="C91" i="6"/>
  <c r="B91" i="6"/>
  <c r="D92" i="6"/>
  <c r="L88" i="3"/>
  <c r="N88" i="9" s="1"/>
  <c r="R88" i="3"/>
  <c r="AS88" i="3" s="1"/>
  <c r="K88" i="3"/>
  <c r="T88" i="8"/>
  <c r="H89" i="3"/>
  <c r="K89" i="3" s="1"/>
  <c r="P89" i="3"/>
  <c r="AM89" i="3" s="1"/>
  <c r="O89" i="3"/>
  <c r="Q89" i="3"/>
  <c r="H93" i="6"/>
  <c r="I93" i="6"/>
  <c r="G93" i="6"/>
  <c r="F93" i="6"/>
  <c r="M93" i="6"/>
  <c r="N93" i="6"/>
  <c r="E93" i="6"/>
  <c r="K93" i="6"/>
  <c r="J93" i="6"/>
  <c r="L93" i="6"/>
  <c r="M94" i="8"/>
  <c r="AU94" i="3"/>
  <c r="AG85" i="8"/>
  <c r="Y85" i="9" s="1"/>
  <c r="AB85" i="9" s="1"/>
  <c r="AQ85" i="9" s="1"/>
  <c r="AS85" i="9" s="1"/>
  <c r="AG84" i="8"/>
  <c r="Y84" i="9" s="1"/>
  <c r="AB84" i="9" s="1"/>
  <c r="AQ84" i="9" s="1"/>
  <c r="AS84" i="9" s="1"/>
  <c r="AH85" i="8"/>
  <c r="AA85" i="9" s="1"/>
  <c r="AD85" i="9" s="1"/>
  <c r="AX85" i="9" s="1"/>
  <c r="R85" i="8"/>
  <c r="AF85" i="8" s="1"/>
  <c r="Z85" i="9" s="1"/>
  <c r="AC85" i="9" s="1"/>
  <c r="AT85" i="9" s="1"/>
  <c r="AV85" i="9" s="1"/>
  <c r="U84" i="3"/>
  <c r="X84" i="3" s="1"/>
  <c r="AO84" i="3" s="1"/>
  <c r="R84" i="8"/>
  <c r="AF84" i="8" s="1"/>
  <c r="V85" i="3"/>
  <c r="Y85" i="3" s="1"/>
  <c r="AR85" i="3" s="1"/>
  <c r="BF85" i="3" s="1"/>
  <c r="BG85" i="3" s="1"/>
  <c r="W85" i="11" s="1"/>
  <c r="Q84" i="8"/>
  <c r="L91" i="9"/>
  <c r="J90" i="3"/>
  <c r="A97" i="12"/>
  <c r="I91" i="12"/>
  <c r="H92" i="12"/>
  <c r="H95" i="5"/>
  <c r="I95" i="5"/>
  <c r="AI96" i="23" s="1"/>
  <c r="F92" i="9"/>
  <c r="K92" i="9" s="1"/>
  <c r="F92" i="3"/>
  <c r="I91" i="3"/>
  <c r="A97" i="11"/>
  <c r="Z93" i="3"/>
  <c r="A96" i="8"/>
  <c r="G95" i="5"/>
  <c r="F95" i="5"/>
  <c r="AF96" i="23" s="1"/>
  <c r="AO95" i="9" s="1"/>
  <c r="E95" i="5"/>
  <c r="AE96" i="23" s="1"/>
  <c r="D95" i="5"/>
  <c r="C95" i="5"/>
  <c r="T97" i="5"/>
  <c r="L97" i="5"/>
  <c r="M97" i="5"/>
  <c r="N97" i="5"/>
  <c r="K97" i="5"/>
  <c r="P97" i="5"/>
  <c r="Q97" i="5"/>
  <c r="O97" i="5"/>
  <c r="S97" i="5"/>
  <c r="R97" i="5"/>
  <c r="J96" i="5"/>
  <c r="B94" i="5"/>
  <c r="AD95" i="23" s="1"/>
  <c r="A98" i="5"/>
  <c r="AN96" i="8" l="1"/>
  <c r="AU96" i="8"/>
  <c r="AM96" i="8"/>
  <c r="AT96" i="8"/>
  <c r="AL96" i="8"/>
  <c r="AS96" i="8"/>
  <c r="AR96" i="8"/>
  <c r="AQ96" i="8"/>
  <c r="AP96" i="8"/>
  <c r="AO96" i="8"/>
  <c r="AV96" i="8"/>
  <c r="AW96" i="8"/>
  <c r="AX96" i="8"/>
  <c r="AY96" i="8"/>
  <c r="AZ96" i="8"/>
  <c r="BA96" i="8"/>
  <c r="BB96" i="8"/>
  <c r="BC96" i="8"/>
  <c r="BD96" i="8"/>
  <c r="BE96" i="8"/>
  <c r="BF96" i="8"/>
  <c r="AK95" i="8"/>
  <c r="C94" i="8"/>
  <c r="D94" i="8" s="1"/>
  <c r="B94" i="8"/>
  <c r="AJ94" i="8" s="1"/>
  <c r="G94" i="8"/>
  <c r="AH96" i="23"/>
  <c r="U95" i="12" s="1"/>
  <c r="AI91" i="3"/>
  <c r="AK91" i="3" s="1"/>
  <c r="AK92" i="3"/>
  <c r="AJ93" i="3"/>
  <c r="BT86" i="9"/>
  <c r="BU86" i="9" s="1"/>
  <c r="R86" i="11" s="1"/>
  <c r="BK86" i="9"/>
  <c r="BL86" i="9" s="1"/>
  <c r="AK89" i="9"/>
  <c r="AJ89" i="9"/>
  <c r="AL88" i="9"/>
  <c r="AG96" i="23"/>
  <c r="X89" i="9"/>
  <c r="L89" i="8" s="1"/>
  <c r="H89" i="8"/>
  <c r="I89" i="8" s="1"/>
  <c r="BX87" i="9"/>
  <c r="BY87" i="9" s="1"/>
  <c r="S87" i="11" s="1"/>
  <c r="P87" i="11" s="1"/>
  <c r="AZ87" i="3"/>
  <c r="BA87" i="3" s="1"/>
  <c r="Z87" i="11" s="1"/>
  <c r="S88" i="9"/>
  <c r="K88" i="8" s="1"/>
  <c r="N88" i="8" s="1"/>
  <c r="O88" i="8" s="1"/>
  <c r="P88" i="8" s="1"/>
  <c r="U88" i="9"/>
  <c r="AZ88" i="9" s="1"/>
  <c r="BM88" i="9" s="1"/>
  <c r="W89" i="9"/>
  <c r="BB89" i="9" s="1"/>
  <c r="V88" i="9"/>
  <c r="BA88" i="9" s="1"/>
  <c r="T88" i="9"/>
  <c r="W88" i="8" s="1"/>
  <c r="O88" i="9"/>
  <c r="D88" i="11" s="1"/>
  <c r="W88" i="9"/>
  <c r="BB88" i="9" s="1"/>
  <c r="X88" i="9"/>
  <c r="L88" i="8" s="1"/>
  <c r="AJ89" i="23"/>
  <c r="AK89" i="23" s="1"/>
  <c r="AD95" i="3"/>
  <c r="E95" i="9"/>
  <c r="F95" i="12"/>
  <c r="E95" i="3"/>
  <c r="G95" i="12"/>
  <c r="G94" i="3"/>
  <c r="N94" i="3" s="1"/>
  <c r="G94" i="9"/>
  <c r="E94" i="12"/>
  <c r="R93" i="9"/>
  <c r="AC105" i="23"/>
  <c r="U106" i="23"/>
  <c r="A101" i="6"/>
  <c r="AB102" i="22"/>
  <c r="T103" i="22"/>
  <c r="U104" i="22"/>
  <c r="P103" i="6" s="1"/>
  <c r="AC103" i="22"/>
  <c r="P92" i="12"/>
  <c r="P93" i="12"/>
  <c r="S88" i="8"/>
  <c r="X86" i="8"/>
  <c r="Y86" i="8" s="1"/>
  <c r="AA86" i="8" s="1"/>
  <c r="AC86" i="8" s="1"/>
  <c r="U86" i="3" s="1"/>
  <c r="X86" i="3" s="1"/>
  <c r="AO86" i="3" s="1"/>
  <c r="P90" i="3"/>
  <c r="AM90" i="3" s="1"/>
  <c r="B90" i="9"/>
  <c r="S95" i="6"/>
  <c r="Q94" i="6"/>
  <c r="AD95" i="17" s="1"/>
  <c r="R94" i="6"/>
  <c r="AA95" i="17" s="1"/>
  <c r="Y96" i="6"/>
  <c r="T96" i="6"/>
  <c r="Z96" i="6"/>
  <c r="AC96" i="6"/>
  <c r="AB96" i="6"/>
  <c r="AA96" i="6"/>
  <c r="V96" i="6"/>
  <c r="U96" i="6"/>
  <c r="W96" i="6"/>
  <c r="X96" i="6"/>
  <c r="AA92" i="7"/>
  <c r="B91" i="9" s="1"/>
  <c r="M90" i="12"/>
  <c r="AG90" i="9"/>
  <c r="AH90" i="9"/>
  <c r="AM90" i="9" s="1"/>
  <c r="O90" i="12"/>
  <c r="B90" i="12" s="1"/>
  <c r="AD92" i="7"/>
  <c r="AC92" i="7"/>
  <c r="M89" i="3"/>
  <c r="M89" i="9" s="1"/>
  <c r="V89" i="9" s="1"/>
  <c r="BA89" i="9" s="1"/>
  <c r="AR87" i="9"/>
  <c r="AU87" i="9"/>
  <c r="BV87" i="9" s="1"/>
  <c r="BW87" i="9" s="1"/>
  <c r="O87" i="11" s="1"/>
  <c r="N87" i="8"/>
  <c r="O87" i="8" s="1"/>
  <c r="J87" i="8"/>
  <c r="BN87" i="9"/>
  <c r="BR87" i="9"/>
  <c r="D93" i="6"/>
  <c r="T89" i="8"/>
  <c r="S89" i="8" s="1"/>
  <c r="Q90" i="3"/>
  <c r="O90" i="3"/>
  <c r="P88" i="9"/>
  <c r="F94" i="6"/>
  <c r="J94" i="6"/>
  <c r="N94" i="6"/>
  <c r="I94" i="6"/>
  <c r="E94" i="6"/>
  <c r="G94" i="6"/>
  <c r="K94" i="6"/>
  <c r="L94" i="6"/>
  <c r="H94" i="6"/>
  <c r="M94" i="6"/>
  <c r="R89" i="3"/>
  <c r="AS89" i="3" s="1"/>
  <c r="L89" i="3"/>
  <c r="N89" i="9" s="1"/>
  <c r="B92" i="6"/>
  <c r="C92" i="6"/>
  <c r="M95" i="8"/>
  <c r="AU95" i="3"/>
  <c r="AN85" i="3"/>
  <c r="AX85" i="3"/>
  <c r="AN84" i="3"/>
  <c r="AX84" i="3"/>
  <c r="BB85" i="3"/>
  <c r="BC85" i="3" s="1"/>
  <c r="X85" i="11" s="1"/>
  <c r="BB84" i="3"/>
  <c r="BC84" i="3" s="1"/>
  <c r="X84" i="11" s="1"/>
  <c r="AI84" i="8"/>
  <c r="Q84" i="12" s="1"/>
  <c r="AI85" i="8"/>
  <c r="Q85" i="12" s="1"/>
  <c r="Q86" i="8"/>
  <c r="AH86" i="8"/>
  <c r="AA86" i="9" s="1"/>
  <c r="AD86" i="9" s="1"/>
  <c r="AX86" i="9" s="1"/>
  <c r="AG86" i="8"/>
  <c r="Y86" i="9" s="1"/>
  <c r="AB86" i="9" s="1"/>
  <c r="AQ86" i="9" s="1"/>
  <c r="AS86" i="9" s="1"/>
  <c r="Z84" i="9"/>
  <c r="AC84" i="9" s="1"/>
  <c r="AT84" i="9" s="1"/>
  <c r="AV84" i="9" s="1"/>
  <c r="BI85" i="9"/>
  <c r="BJ85" i="9" s="1"/>
  <c r="Z86" i="9"/>
  <c r="AC86" i="9" s="1"/>
  <c r="AT86" i="9" s="1"/>
  <c r="AV86" i="9" s="1"/>
  <c r="J91" i="3"/>
  <c r="A98" i="12"/>
  <c r="I92" i="12"/>
  <c r="H93" i="12"/>
  <c r="H96" i="5"/>
  <c r="I96" i="5"/>
  <c r="AI97" i="23" s="1"/>
  <c r="L92" i="9"/>
  <c r="F93" i="9"/>
  <c r="K93" i="9" s="1"/>
  <c r="F93" i="3"/>
  <c r="I92" i="3"/>
  <c r="A98" i="11"/>
  <c r="Z94" i="3"/>
  <c r="A97" i="8"/>
  <c r="R98" i="5"/>
  <c r="L98" i="5"/>
  <c r="N98" i="5"/>
  <c r="M98" i="5"/>
  <c r="P98" i="5"/>
  <c r="T98" i="5"/>
  <c r="S98" i="5"/>
  <c r="Q98" i="5"/>
  <c r="O98" i="5"/>
  <c r="K98" i="5"/>
  <c r="B95" i="5"/>
  <c r="AD96" i="23" s="1"/>
  <c r="J97" i="5"/>
  <c r="E96" i="5"/>
  <c r="AE97" i="23" s="1"/>
  <c r="F96" i="5"/>
  <c r="AF97" i="23" s="1"/>
  <c r="AO96" i="9" s="1"/>
  <c r="D96" i="5"/>
  <c r="C96" i="5"/>
  <c r="G96" i="5"/>
  <c r="A99" i="5"/>
  <c r="G95" i="8" l="1"/>
  <c r="B95" i="8"/>
  <c r="AJ95" i="8" s="1"/>
  <c r="C95" i="8"/>
  <c r="D95" i="8" s="1"/>
  <c r="AK96" i="8"/>
  <c r="AT97" i="8"/>
  <c r="AL97" i="8"/>
  <c r="AS97" i="8"/>
  <c r="AR97" i="8"/>
  <c r="AQ97" i="8"/>
  <c r="AP97" i="8"/>
  <c r="AO97" i="8"/>
  <c r="AN97" i="8"/>
  <c r="AM97" i="8"/>
  <c r="AU97" i="8"/>
  <c r="AV97" i="8"/>
  <c r="AW97" i="8"/>
  <c r="AX97" i="8"/>
  <c r="AY97" i="8"/>
  <c r="AZ97" i="8"/>
  <c r="BA97" i="8"/>
  <c r="BB97" i="8"/>
  <c r="BC97" i="8"/>
  <c r="BD97" i="8"/>
  <c r="BE97" i="8"/>
  <c r="BF97" i="8"/>
  <c r="AH97" i="23"/>
  <c r="U96" i="12" s="1"/>
  <c r="AJ94" i="3"/>
  <c r="BT87" i="9"/>
  <c r="BU87" i="9" s="1"/>
  <c r="R87" i="11" s="1"/>
  <c r="BK87" i="9"/>
  <c r="BL87" i="9" s="1"/>
  <c r="AY84" i="3"/>
  <c r="V84" i="11" s="1"/>
  <c r="BH84" i="3"/>
  <c r="BI84" i="3" s="1"/>
  <c r="AA84" i="11" s="1"/>
  <c r="AY85" i="3"/>
  <c r="V85" i="11" s="1"/>
  <c r="BH85" i="3"/>
  <c r="BI85" i="3" s="1"/>
  <c r="AA85" i="11" s="1"/>
  <c r="H85" i="11" s="1"/>
  <c r="AL89" i="9"/>
  <c r="AK90" i="9"/>
  <c r="AJ90" i="9"/>
  <c r="AG97" i="23"/>
  <c r="AR88" i="9"/>
  <c r="AZ88" i="3"/>
  <c r="BA88" i="3" s="1"/>
  <c r="Z88" i="11" s="1"/>
  <c r="AU88" i="9"/>
  <c r="BV88" i="9" s="1"/>
  <c r="BW88" i="9" s="1"/>
  <c r="O88" i="11" s="1"/>
  <c r="BN88" i="9"/>
  <c r="BC89" i="9"/>
  <c r="BQ89" i="9" s="1"/>
  <c r="BX88" i="9"/>
  <c r="BY88" i="9" s="1"/>
  <c r="S88" i="11" s="1"/>
  <c r="P88" i="11" s="1"/>
  <c r="BC88" i="9"/>
  <c r="BQ88" i="9" s="1"/>
  <c r="BR88" i="9" s="1"/>
  <c r="J88" i="8"/>
  <c r="R88" i="8" s="1"/>
  <c r="AF88" i="8" s="1"/>
  <c r="Z88" i="9" s="1"/>
  <c r="AC88" i="9" s="1"/>
  <c r="AT88" i="9" s="1"/>
  <c r="J90" i="9"/>
  <c r="H90" i="8" s="1"/>
  <c r="I90" i="8" s="1"/>
  <c r="Q90" i="9"/>
  <c r="J91" i="9"/>
  <c r="Q91" i="9"/>
  <c r="R94" i="9"/>
  <c r="G96" i="12"/>
  <c r="F96" i="12"/>
  <c r="E96" i="9"/>
  <c r="E96" i="3"/>
  <c r="E95" i="12"/>
  <c r="G95" i="9"/>
  <c r="G95" i="3"/>
  <c r="N95" i="3" s="1"/>
  <c r="A102" i="6"/>
  <c r="AB103" i="22"/>
  <c r="T104" i="22"/>
  <c r="AC106" i="23"/>
  <c r="U107" i="23"/>
  <c r="AC107" i="23" s="1"/>
  <c r="U105" i="22"/>
  <c r="P104" i="6" s="1"/>
  <c r="AC104" i="22"/>
  <c r="U98" i="6"/>
  <c r="AC93" i="3"/>
  <c r="K94" i="12"/>
  <c r="B94" i="3"/>
  <c r="AC94" i="3"/>
  <c r="AI94" i="3" s="1"/>
  <c r="S96" i="6"/>
  <c r="R96" i="6" s="1"/>
  <c r="AA97" i="17" s="1"/>
  <c r="AD86" i="8"/>
  <c r="T86" i="3" s="1"/>
  <c r="W86" i="3" s="1"/>
  <c r="AL86" i="3" s="1"/>
  <c r="AN86" i="3" s="1"/>
  <c r="Z86" i="8"/>
  <c r="AE86" i="8" s="1"/>
  <c r="V86" i="3" s="1"/>
  <c r="Y86" i="3" s="1"/>
  <c r="AR86" i="3" s="1"/>
  <c r="BF86" i="3" s="1"/>
  <c r="BG86" i="3" s="1"/>
  <c r="W86" i="11" s="1"/>
  <c r="H90" i="3"/>
  <c r="K90" i="3" s="1"/>
  <c r="J91" i="12"/>
  <c r="AA97" i="6"/>
  <c r="X97" i="6"/>
  <c r="Y97" i="6"/>
  <c r="U97" i="6"/>
  <c r="V97" i="6"/>
  <c r="AC97" i="6"/>
  <c r="T97" i="6"/>
  <c r="AB97" i="6"/>
  <c r="W97" i="6"/>
  <c r="Z97" i="6"/>
  <c r="Z98" i="6"/>
  <c r="V98" i="6"/>
  <c r="T98" i="6"/>
  <c r="AA98" i="6"/>
  <c r="AC98" i="6"/>
  <c r="AB98" i="6"/>
  <c r="Y98" i="6"/>
  <c r="Q95" i="6"/>
  <c r="AD96" i="17" s="1"/>
  <c r="R95" i="6"/>
  <c r="AA96" i="17" s="1"/>
  <c r="AA93" i="7"/>
  <c r="J92" i="12" s="1"/>
  <c r="P91" i="3"/>
  <c r="AM91" i="3" s="1"/>
  <c r="S89" i="9"/>
  <c r="K89" i="8" s="1"/>
  <c r="N89" i="8" s="1"/>
  <c r="O89" i="8" s="1"/>
  <c r="P89" i="8" s="1"/>
  <c r="T89" i="9"/>
  <c r="W89" i="8" s="1"/>
  <c r="U89" i="9"/>
  <c r="AZ89" i="9" s="1"/>
  <c r="BM89" i="9" s="1"/>
  <c r="O89" i="9"/>
  <c r="AC93" i="7"/>
  <c r="AD93" i="7"/>
  <c r="O91" i="12"/>
  <c r="B91" i="12" s="1"/>
  <c r="AH91" i="9"/>
  <c r="AM91" i="9" s="1"/>
  <c r="AG91" i="9"/>
  <c r="M91" i="12"/>
  <c r="P87" i="8"/>
  <c r="V87" i="8"/>
  <c r="X87" i="8" s="1"/>
  <c r="Y87" i="8" s="1"/>
  <c r="H95" i="6"/>
  <c r="I95" i="6"/>
  <c r="J95" i="6"/>
  <c r="F95" i="6"/>
  <c r="E95" i="6"/>
  <c r="G95" i="6"/>
  <c r="M95" i="6"/>
  <c r="L95" i="6"/>
  <c r="N95" i="6"/>
  <c r="K95" i="6"/>
  <c r="P89" i="9"/>
  <c r="D94" i="6"/>
  <c r="BX89" i="9"/>
  <c r="AZ89" i="3"/>
  <c r="BA89" i="3" s="1"/>
  <c r="Z89" i="11" s="1"/>
  <c r="T90" i="8"/>
  <c r="S90" i="8" s="1"/>
  <c r="B93" i="6"/>
  <c r="C93" i="6"/>
  <c r="V88" i="8"/>
  <c r="X88" i="8" s="1"/>
  <c r="Y88" i="8" s="1"/>
  <c r="AA88" i="8" s="1"/>
  <c r="AC88" i="8" s="1"/>
  <c r="U88" i="3" s="1"/>
  <c r="X88" i="3" s="1"/>
  <c r="AO88" i="3" s="1"/>
  <c r="M96" i="8"/>
  <c r="AU96" i="3"/>
  <c r="BB86" i="3"/>
  <c r="BC86" i="3" s="1"/>
  <c r="X86" i="11" s="1"/>
  <c r="AI86" i="8"/>
  <c r="Q86" i="12" s="1"/>
  <c r="BI84" i="9"/>
  <c r="BJ84" i="9" s="1"/>
  <c r="AG88" i="8"/>
  <c r="Y88" i="9" s="1"/>
  <c r="AB88" i="9" s="1"/>
  <c r="AQ88" i="9" s="1"/>
  <c r="AH88" i="8"/>
  <c r="AA88" i="9" s="1"/>
  <c r="AD88" i="9" s="1"/>
  <c r="AX88" i="9" s="1"/>
  <c r="BI86" i="9"/>
  <c r="BJ86" i="9" s="1"/>
  <c r="L93" i="9"/>
  <c r="J92" i="3"/>
  <c r="A99" i="12"/>
  <c r="I93" i="12"/>
  <c r="H94" i="12"/>
  <c r="H97" i="5"/>
  <c r="I97" i="5"/>
  <c r="AI98" i="23" s="1"/>
  <c r="F94" i="9"/>
  <c r="F94" i="3"/>
  <c r="I93" i="3"/>
  <c r="A99" i="11"/>
  <c r="Z95" i="3"/>
  <c r="A98" i="8"/>
  <c r="D97" i="5"/>
  <c r="C97" i="5"/>
  <c r="E97" i="5"/>
  <c r="AE98" i="23" s="1"/>
  <c r="F97" i="5"/>
  <c r="AF98" i="23" s="1"/>
  <c r="AO97" i="9" s="1"/>
  <c r="G97" i="5"/>
  <c r="J98" i="5"/>
  <c r="P99" i="5"/>
  <c r="T99" i="5"/>
  <c r="K99" i="5"/>
  <c r="N99" i="5"/>
  <c r="M99" i="5"/>
  <c r="Q99" i="5"/>
  <c r="L99" i="5"/>
  <c r="R99" i="5"/>
  <c r="O99" i="5"/>
  <c r="S99" i="5"/>
  <c r="B96" i="5"/>
  <c r="AD97" i="23" s="1"/>
  <c r="A100" i="5"/>
  <c r="C96" i="8" l="1"/>
  <c r="D96" i="8" s="1"/>
  <c r="B96" i="8"/>
  <c r="AJ96" i="8" s="1"/>
  <c r="G96" i="8"/>
  <c r="AR98" i="8"/>
  <c r="AQ98" i="8"/>
  <c r="AP98" i="8"/>
  <c r="AO98" i="8"/>
  <c r="AN98" i="8"/>
  <c r="AU98" i="8"/>
  <c r="AM98" i="8"/>
  <c r="AT98" i="8"/>
  <c r="AL98" i="8"/>
  <c r="AS98" i="8"/>
  <c r="AV98" i="8"/>
  <c r="AW98" i="8"/>
  <c r="AX98" i="8"/>
  <c r="AY98" i="8"/>
  <c r="AZ98" i="8"/>
  <c r="BA98" i="8"/>
  <c r="BB98" i="8"/>
  <c r="BC98" i="8"/>
  <c r="BD98" i="8"/>
  <c r="BE98" i="8"/>
  <c r="BF98" i="8"/>
  <c r="AK98" i="8" s="1"/>
  <c r="AK97" i="8"/>
  <c r="AD96" i="3"/>
  <c r="AH98" i="23"/>
  <c r="U97" i="12" s="1"/>
  <c r="H84" i="11"/>
  <c r="AI93" i="3"/>
  <c r="AK93" i="3" s="1"/>
  <c r="AK94" i="3"/>
  <c r="AJ95" i="3"/>
  <c r="BT88" i="9"/>
  <c r="BU88" i="9" s="1"/>
  <c r="R88" i="11" s="1"/>
  <c r="BK88" i="9"/>
  <c r="BL88" i="9" s="1"/>
  <c r="AL90" i="9"/>
  <c r="AJ91" i="9"/>
  <c r="AK91" i="9"/>
  <c r="AS88" i="9"/>
  <c r="AV88" i="9"/>
  <c r="AG98" i="23"/>
  <c r="W90" i="9"/>
  <c r="BB90" i="9" s="1"/>
  <c r="X90" i="9"/>
  <c r="L90" i="8" s="1"/>
  <c r="AJ91" i="23"/>
  <c r="AK91" i="23" s="1"/>
  <c r="H91" i="8"/>
  <c r="I91" i="8" s="1"/>
  <c r="X91" i="9"/>
  <c r="L91" i="8" s="1"/>
  <c r="Q88" i="8"/>
  <c r="W91" i="9"/>
  <c r="BB91" i="9" s="1"/>
  <c r="AJ92" i="23"/>
  <c r="AK92" i="23" s="1"/>
  <c r="AD97" i="3"/>
  <c r="G97" i="12"/>
  <c r="R95" i="9"/>
  <c r="F97" i="12"/>
  <c r="E97" i="3"/>
  <c r="E97" i="9"/>
  <c r="G96" i="3"/>
  <c r="N96" i="3" s="1"/>
  <c r="E96" i="12"/>
  <c r="G96" i="9"/>
  <c r="A103" i="6"/>
  <c r="AB104" i="22"/>
  <c r="T105" i="22"/>
  <c r="U106" i="22"/>
  <c r="P105" i="6" s="1"/>
  <c r="AC105" i="22"/>
  <c r="X98" i="6"/>
  <c r="W98" i="6"/>
  <c r="AC99" i="6"/>
  <c r="BR89" i="9"/>
  <c r="D89" i="11"/>
  <c r="AH87" i="8"/>
  <c r="AA87" i="9" s="1"/>
  <c r="AD87" i="9" s="1"/>
  <c r="AX87" i="9" s="1"/>
  <c r="AG87" i="8"/>
  <c r="Y87" i="9" s="1"/>
  <c r="AB87" i="9" s="1"/>
  <c r="AQ87" i="9" s="1"/>
  <c r="AS87" i="9" s="1"/>
  <c r="Q96" i="6"/>
  <c r="AD97" i="17" s="1"/>
  <c r="AC96" i="3" s="1"/>
  <c r="P94" i="12"/>
  <c r="AC95" i="3"/>
  <c r="AI95" i="3" s="1"/>
  <c r="AX86" i="3"/>
  <c r="B95" i="3"/>
  <c r="K95" i="12"/>
  <c r="B96" i="3"/>
  <c r="K96" i="12"/>
  <c r="R90" i="3"/>
  <c r="AS90" i="3" s="1"/>
  <c r="L90" i="3"/>
  <c r="N90" i="9" s="1"/>
  <c r="P90" i="9" s="1"/>
  <c r="M90" i="3"/>
  <c r="M90" i="9" s="1"/>
  <c r="O90" i="9" s="1"/>
  <c r="D90" i="11" s="1"/>
  <c r="AR89" i="9"/>
  <c r="O91" i="3"/>
  <c r="H91" i="3"/>
  <c r="K91" i="3" s="1"/>
  <c r="B92" i="9"/>
  <c r="Q92" i="3"/>
  <c r="W99" i="6"/>
  <c r="AB99" i="6"/>
  <c r="AA99" i="6"/>
  <c r="X99" i="6"/>
  <c r="Z99" i="6"/>
  <c r="V99" i="6"/>
  <c r="T99" i="6"/>
  <c r="U99" i="6"/>
  <c r="Y99" i="6"/>
  <c r="S97" i="6"/>
  <c r="Q91" i="3"/>
  <c r="J89" i="8"/>
  <c r="R89" i="8" s="1"/>
  <c r="AF89" i="8" s="1"/>
  <c r="V89" i="8"/>
  <c r="X89" i="8" s="1"/>
  <c r="Y89" i="8" s="1"/>
  <c r="AA89" i="8" s="1"/>
  <c r="AC89" i="8" s="1"/>
  <c r="AA94" i="7"/>
  <c r="J93" i="12" s="1"/>
  <c r="AU89" i="9"/>
  <c r="BV89" i="9" s="1"/>
  <c r="BW89" i="9" s="1"/>
  <c r="O89" i="11" s="1"/>
  <c r="BN89" i="9"/>
  <c r="BY89" i="9"/>
  <c r="S89" i="11" s="1"/>
  <c r="P89" i="11" s="1"/>
  <c r="AC94" i="7"/>
  <c r="AD94" i="7"/>
  <c r="O92" i="12"/>
  <c r="B92" i="12" s="1"/>
  <c r="AH92" i="9"/>
  <c r="AM92" i="9" s="1"/>
  <c r="AG92" i="9"/>
  <c r="M92" i="12"/>
  <c r="AA87" i="8"/>
  <c r="AC87" i="8" s="1"/>
  <c r="U87" i="3" s="1"/>
  <c r="X87" i="3" s="1"/>
  <c r="AO87" i="3" s="1"/>
  <c r="AD87" i="8"/>
  <c r="T87" i="3" s="1"/>
  <c r="W87" i="3" s="1"/>
  <c r="AL87" i="3" s="1"/>
  <c r="Z87" i="8"/>
  <c r="AE87" i="8" s="1"/>
  <c r="V87" i="3" s="1"/>
  <c r="Y87" i="3" s="1"/>
  <c r="AR87" i="3" s="1"/>
  <c r="BF87" i="3" s="1"/>
  <c r="BG87" i="3" s="1"/>
  <c r="W87" i="11" s="1"/>
  <c r="Q87" i="8"/>
  <c r="R87" i="8"/>
  <c r="AF87" i="8" s="1"/>
  <c r="T91" i="8"/>
  <c r="C94" i="6"/>
  <c r="B94" i="6"/>
  <c r="M96" i="6"/>
  <c r="K96" i="6"/>
  <c r="G96" i="6"/>
  <c r="J96" i="6"/>
  <c r="E96" i="6"/>
  <c r="L96" i="6"/>
  <c r="H96" i="6"/>
  <c r="F96" i="6"/>
  <c r="I96" i="6"/>
  <c r="N96" i="6"/>
  <c r="D95" i="6"/>
  <c r="Z88" i="8"/>
  <c r="AE88" i="8" s="1"/>
  <c r="V88" i="3" s="1"/>
  <c r="Y88" i="3" s="1"/>
  <c r="AR88" i="3" s="1"/>
  <c r="BF88" i="3" s="1"/>
  <c r="BG88" i="3" s="1"/>
  <c r="W88" i="11" s="1"/>
  <c r="AD88" i="8"/>
  <c r="T88" i="3" s="1"/>
  <c r="W88" i="3" s="1"/>
  <c r="AL88" i="3" s="1"/>
  <c r="AN88" i="3" s="1"/>
  <c r="M97" i="8"/>
  <c r="AU97" i="3"/>
  <c r="BB88" i="3"/>
  <c r="BC88" i="3" s="1"/>
  <c r="X88" i="11" s="1"/>
  <c r="AI88" i="8"/>
  <c r="Q88" i="12" s="1"/>
  <c r="BI88" i="9"/>
  <c r="BJ88" i="9" s="1"/>
  <c r="J93" i="3"/>
  <c r="A100" i="12"/>
  <c r="I94" i="12"/>
  <c r="H95" i="12"/>
  <c r="H98" i="5"/>
  <c r="I98" i="5"/>
  <c r="AI99" i="23" s="1"/>
  <c r="I94" i="3"/>
  <c r="F95" i="9"/>
  <c r="K95" i="9" s="1"/>
  <c r="F95" i="3"/>
  <c r="I95" i="3" s="1"/>
  <c r="K94" i="9"/>
  <c r="A100" i="11"/>
  <c r="Z96" i="3"/>
  <c r="A99" i="8"/>
  <c r="B97" i="5"/>
  <c r="AD98" i="23" s="1"/>
  <c r="C98" i="5"/>
  <c r="G98" i="5"/>
  <c r="E98" i="5"/>
  <c r="AE99" i="23" s="1"/>
  <c r="F98" i="5"/>
  <c r="AF99" i="23" s="1"/>
  <c r="AO98" i="9" s="1"/>
  <c r="D98" i="5"/>
  <c r="N100" i="5"/>
  <c r="S100" i="5"/>
  <c r="O100" i="5"/>
  <c r="M100" i="5"/>
  <c r="Q100" i="5"/>
  <c r="T100" i="5"/>
  <c r="R100" i="5"/>
  <c r="K100" i="5"/>
  <c r="L100" i="5"/>
  <c r="P100" i="5"/>
  <c r="J99" i="5"/>
  <c r="A101" i="5"/>
  <c r="B98" i="8" l="1"/>
  <c r="AJ98" i="8" s="1"/>
  <c r="C98" i="8"/>
  <c r="D98" i="8" s="1"/>
  <c r="G98" i="8"/>
  <c r="AP99" i="8"/>
  <c r="AO99" i="8"/>
  <c r="AN99" i="8"/>
  <c r="AU99" i="8"/>
  <c r="AM99" i="8"/>
  <c r="AT99" i="8"/>
  <c r="AL99" i="8"/>
  <c r="AS99" i="8"/>
  <c r="AR99" i="8"/>
  <c r="AQ99" i="8"/>
  <c r="AV99" i="8"/>
  <c r="AW99" i="8"/>
  <c r="AX99" i="8"/>
  <c r="AY99" i="8"/>
  <c r="AZ99" i="8"/>
  <c r="BA99" i="8"/>
  <c r="BB99" i="8"/>
  <c r="BC99" i="8"/>
  <c r="BD99" i="8"/>
  <c r="BE99" i="8"/>
  <c r="BF99" i="8"/>
  <c r="AK99" i="8" s="1"/>
  <c r="B97" i="8"/>
  <c r="AJ97" i="8" s="1"/>
  <c r="G97" i="8"/>
  <c r="C97" i="8"/>
  <c r="D97" i="8" s="1"/>
  <c r="AH99" i="23"/>
  <c r="U98" i="12" s="1"/>
  <c r="AK95" i="3"/>
  <c r="AI96" i="3"/>
  <c r="AJ96" i="3"/>
  <c r="BT89" i="9"/>
  <c r="BU89" i="9" s="1"/>
  <c r="R89" i="11" s="1"/>
  <c r="BK89" i="9"/>
  <c r="BL89" i="9" s="1"/>
  <c r="AY86" i="3"/>
  <c r="V86" i="11" s="1"/>
  <c r="BH86" i="3"/>
  <c r="BI86" i="3" s="1"/>
  <c r="AA86" i="11" s="1"/>
  <c r="H86" i="11" s="1"/>
  <c r="AL91" i="9"/>
  <c r="AK92" i="9"/>
  <c r="AJ92" i="9"/>
  <c r="AZ90" i="3"/>
  <c r="BA90" i="3" s="1"/>
  <c r="Z90" i="11" s="1"/>
  <c r="AG99" i="23"/>
  <c r="BX90" i="9"/>
  <c r="BY90" i="9" s="1"/>
  <c r="S90" i="11" s="1"/>
  <c r="P90" i="11" s="1"/>
  <c r="J92" i="9"/>
  <c r="X92" i="9" s="1"/>
  <c r="L92" i="8" s="1"/>
  <c r="Q92" i="9"/>
  <c r="G98" i="12"/>
  <c r="E98" i="3"/>
  <c r="F98" i="12"/>
  <c r="E98" i="9"/>
  <c r="R96" i="9"/>
  <c r="G97" i="3"/>
  <c r="N97" i="3" s="1"/>
  <c r="E97" i="12"/>
  <c r="G97" i="9"/>
  <c r="S98" i="6"/>
  <c r="R98" i="6" s="1"/>
  <c r="AA99" i="17" s="1"/>
  <c r="A104" i="6"/>
  <c r="AB105" i="22"/>
  <c r="T106" i="22"/>
  <c r="U107" i="22"/>
  <c r="AC106" i="22"/>
  <c r="Z100" i="6"/>
  <c r="P95" i="12"/>
  <c r="P96" i="12"/>
  <c r="L91" i="3"/>
  <c r="N91" i="9" s="1"/>
  <c r="V90" i="9"/>
  <c r="BA90" i="9" s="1"/>
  <c r="BC90" i="9" s="1"/>
  <c r="BQ90" i="9" s="1"/>
  <c r="BR90" i="9" s="1"/>
  <c r="T90" i="9"/>
  <c r="W90" i="8" s="1"/>
  <c r="U90" i="9"/>
  <c r="AZ90" i="9" s="1"/>
  <c r="BM90" i="9" s="1"/>
  <c r="BN90" i="9" s="1"/>
  <c r="S90" i="9"/>
  <c r="K90" i="8" s="1"/>
  <c r="N90" i="8" s="1"/>
  <c r="O90" i="8" s="1"/>
  <c r="P90" i="8" s="1"/>
  <c r="AH90" i="8" s="1"/>
  <c r="AA90" i="9" s="1"/>
  <c r="AD90" i="9" s="1"/>
  <c r="AX90" i="9" s="1"/>
  <c r="O92" i="3"/>
  <c r="R91" i="3"/>
  <c r="AS91" i="3" s="1"/>
  <c r="P92" i="3"/>
  <c r="B93" i="9"/>
  <c r="H92" i="3"/>
  <c r="M92" i="3" s="1"/>
  <c r="M92" i="9" s="1"/>
  <c r="M91" i="3"/>
  <c r="M91" i="9" s="1"/>
  <c r="O91" i="9" s="1"/>
  <c r="D91" i="11" s="1"/>
  <c r="R97" i="6"/>
  <c r="AA98" i="17" s="1"/>
  <c r="Q97" i="6"/>
  <c r="AD98" i="17" s="1"/>
  <c r="S91" i="8"/>
  <c r="S99" i="6"/>
  <c r="AA95" i="7"/>
  <c r="B94" i="9" s="1"/>
  <c r="Z89" i="8"/>
  <c r="AE89" i="8" s="1"/>
  <c r="V89" i="3" s="1"/>
  <c r="Y89" i="3" s="1"/>
  <c r="AR89" i="3" s="1"/>
  <c r="BF89" i="3" s="1"/>
  <c r="BG89" i="3" s="1"/>
  <c r="W89" i="11" s="1"/>
  <c r="AD89" i="8"/>
  <c r="T89" i="3" s="1"/>
  <c r="W89" i="3" s="1"/>
  <c r="AL89" i="3" s="1"/>
  <c r="AD95" i="7"/>
  <c r="AC95" i="7"/>
  <c r="O93" i="12"/>
  <c r="B93" i="12" s="1"/>
  <c r="AH93" i="9"/>
  <c r="AM93" i="9" s="1"/>
  <c r="M93" i="12"/>
  <c r="AG93" i="9"/>
  <c r="AX87" i="3"/>
  <c r="AN87" i="3"/>
  <c r="Z87" i="9"/>
  <c r="AC87" i="9" s="1"/>
  <c r="AT87" i="9" s="1"/>
  <c r="AI87" i="8"/>
  <c r="Q87" i="12" s="1"/>
  <c r="BB87" i="3"/>
  <c r="BC87" i="3" s="1"/>
  <c r="X87" i="11" s="1"/>
  <c r="H93" i="3"/>
  <c r="M93" i="3" s="1"/>
  <c r="M93" i="9" s="1"/>
  <c r="Q93" i="3"/>
  <c r="O93" i="3"/>
  <c r="P93" i="3"/>
  <c r="AM93" i="3" s="1"/>
  <c r="C95" i="6"/>
  <c r="B95" i="6"/>
  <c r="M97" i="6"/>
  <c r="G97" i="6"/>
  <c r="I97" i="6"/>
  <c r="F97" i="6"/>
  <c r="E97" i="6"/>
  <c r="L97" i="6"/>
  <c r="J97" i="6"/>
  <c r="K97" i="6"/>
  <c r="N97" i="6"/>
  <c r="H97" i="6"/>
  <c r="D96" i="6"/>
  <c r="BX91" i="9"/>
  <c r="AZ91" i="3"/>
  <c r="BA91" i="3" s="1"/>
  <c r="Z91" i="11" s="1"/>
  <c r="AX88" i="3"/>
  <c r="M98" i="8"/>
  <c r="AU98" i="3"/>
  <c r="AH89" i="8"/>
  <c r="AA89" i="9" s="1"/>
  <c r="AD89" i="9" s="1"/>
  <c r="AX89" i="9" s="1"/>
  <c r="AG89" i="8"/>
  <c r="Y89" i="9" s="1"/>
  <c r="AB89" i="9" s="1"/>
  <c r="AQ89" i="9" s="1"/>
  <c r="AS89" i="9" s="1"/>
  <c r="Q89" i="8"/>
  <c r="U89" i="3"/>
  <c r="X89" i="3" s="1"/>
  <c r="AO89" i="3" s="1"/>
  <c r="Z89" i="9"/>
  <c r="AC89" i="9" s="1"/>
  <c r="AT89" i="9" s="1"/>
  <c r="AV89" i="9" s="1"/>
  <c r="J94" i="3"/>
  <c r="L94" i="9"/>
  <c r="A101" i="12"/>
  <c r="I95" i="12"/>
  <c r="H96" i="12"/>
  <c r="H99" i="5"/>
  <c r="I99" i="5"/>
  <c r="AI100" i="23" s="1"/>
  <c r="J95" i="3"/>
  <c r="L95" i="9"/>
  <c r="F96" i="9"/>
  <c r="K96" i="9" s="1"/>
  <c r="F96" i="3"/>
  <c r="I96" i="3" s="1"/>
  <c r="A101" i="11"/>
  <c r="Z97" i="3"/>
  <c r="A100" i="8"/>
  <c r="D99" i="5"/>
  <c r="F99" i="5"/>
  <c r="AF100" i="23" s="1"/>
  <c r="AO99" i="9" s="1"/>
  <c r="C99" i="5"/>
  <c r="G99" i="5"/>
  <c r="E99" i="5"/>
  <c r="AE100" i="23" s="1"/>
  <c r="B98" i="5"/>
  <c r="AD99" i="23" s="1"/>
  <c r="J100" i="5"/>
  <c r="T101" i="5"/>
  <c r="L101" i="5"/>
  <c r="R101" i="5"/>
  <c r="O101" i="5"/>
  <c r="N101" i="5"/>
  <c r="Q101" i="5"/>
  <c r="M101" i="5"/>
  <c r="K101" i="5"/>
  <c r="S101" i="5"/>
  <c r="P101" i="5"/>
  <c r="A102" i="5"/>
  <c r="G99" i="8" l="1"/>
  <c r="C99" i="8"/>
  <c r="D99" i="8" s="1"/>
  <c r="B99" i="8"/>
  <c r="AJ99" i="8" s="1"/>
  <c r="AN100" i="8"/>
  <c r="AU100" i="8"/>
  <c r="AM100" i="8"/>
  <c r="AT100" i="8"/>
  <c r="AL100" i="8"/>
  <c r="AS100" i="8"/>
  <c r="AR100" i="8"/>
  <c r="AQ100" i="8"/>
  <c r="AP100" i="8"/>
  <c r="AO100" i="8"/>
  <c r="AV100" i="8"/>
  <c r="AW100" i="8"/>
  <c r="AX100" i="8"/>
  <c r="AY100" i="8"/>
  <c r="AZ100" i="8"/>
  <c r="BA100" i="8"/>
  <c r="BB100" i="8"/>
  <c r="BC100" i="8"/>
  <c r="BD100" i="8"/>
  <c r="BE100" i="8"/>
  <c r="BF100" i="8"/>
  <c r="AD98" i="3"/>
  <c r="AH100" i="23"/>
  <c r="U99" i="12" s="1"/>
  <c r="AK96" i="3"/>
  <c r="T92" i="8"/>
  <c r="S92" i="8" s="1"/>
  <c r="AM92" i="3"/>
  <c r="BX92" i="9" s="1"/>
  <c r="AJ97" i="3"/>
  <c r="AY88" i="3"/>
  <c r="V88" i="11" s="1"/>
  <c r="BH88" i="3"/>
  <c r="BI88" i="3" s="1"/>
  <c r="AA88" i="11" s="1"/>
  <c r="H88" i="11" s="1"/>
  <c r="AY87" i="3"/>
  <c r="V87" i="11" s="1"/>
  <c r="BH87" i="3"/>
  <c r="BI87" i="3" s="1"/>
  <c r="AA87" i="11" s="1"/>
  <c r="AL92" i="9"/>
  <c r="AJ93" i="9"/>
  <c r="AK93" i="9"/>
  <c r="AG100" i="23"/>
  <c r="AJ93" i="23"/>
  <c r="AK93" i="23" s="1"/>
  <c r="W92" i="9"/>
  <c r="BB92" i="9" s="1"/>
  <c r="O92" i="9"/>
  <c r="D92" i="11" s="1"/>
  <c r="Q98" i="6"/>
  <c r="AD99" i="17" s="1"/>
  <c r="P98" i="12" s="1"/>
  <c r="H92" i="8"/>
  <c r="I92" i="8" s="1"/>
  <c r="J93" i="9"/>
  <c r="AJ94" i="23" s="1"/>
  <c r="AK94" i="23" s="1"/>
  <c r="Q93" i="9"/>
  <c r="J94" i="9"/>
  <c r="W94" i="9" s="1"/>
  <c r="BB94" i="9" s="1"/>
  <c r="Q94" i="9"/>
  <c r="E98" i="12"/>
  <c r="G98" i="9"/>
  <c r="G98" i="3"/>
  <c r="N98" i="3" s="1"/>
  <c r="F99" i="12"/>
  <c r="E99" i="9"/>
  <c r="E99" i="3"/>
  <c r="AD99" i="3"/>
  <c r="R97" i="9"/>
  <c r="G99" i="12"/>
  <c r="AC107" i="22"/>
  <c r="P106" i="6"/>
  <c r="A105" i="6"/>
  <c r="AB106" i="22"/>
  <c r="T107" i="22"/>
  <c r="A106" i="6" s="1"/>
  <c r="X100" i="6"/>
  <c r="AA100" i="6"/>
  <c r="V100" i="6"/>
  <c r="V101" i="6"/>
  <c r="AB100" i="6"/>
  <c r="T100" i="6"/>
  <c r="U100" i="6"/>
  <c r="W100" i="6"/>
  <c r="Y100" i="6"/>
  <c r="AC100" i="6"/>
  <c r="B97" i="3"/>
  <c r="K97" i="12"/>
  <c r="K98" i="12"/>
  <c r="B98" i="3"/>
  <c r="P97" i="12"/>
  <c r="P91" i="9"/>
  <c r="AU90" i="9"/>
  <c r="BV90" i="9" s="1"/>
  <c r="BW90" i="9" s="1"/>
  <c r="O90" i="11" s="1"/>
  <c r="AR90" i="9"/>
  <c r="J90" i="8"/>
  <c r="Q90" i="8" s="1"/>
  <c r="V90" i="8"/>
  <c r="X90" i="8" s="1"/>
  <c r="Y90" i="8" s="1"/>
  <c r="Z90" i="8" s="1"/>
  <c r="AE90" i="8" s="1"/>
  <c r="V90" i="3" s="1"/>
  <c r="Y90" i="3" s="1"/>
  <c r="AR90" i="3" s="1"/>
  <c r="BF90" i="3" s="1"/>
  <c r="BG90" i="3" s="1"/>
  <c r="W90" i="11" s="1"/>
  <c r="L92" i="3"/>
  <c r="N92" i="9" s="1"/>
  <c r="P92" i="9" s="1"/>
  <c r="T92" i="9"/>
  <c r="U92" i="9"/>
  <c r="AZ92" i="9" s="1"/>
  <c r="BM92" i="9" s="1"/>
  <c r="R92" i="3"/>
  <c r="AS92" i="3" s="1"/>
  <c r="T91" i="9"/>
  <c r="W91" i="8" s="1"/>
  <c r="V92" i="9"/>
  <c r="BA92" i="9" s="1"/>
  <c r="S92" i="9"/>
  <c r="K92" i="8" s="1"/>
  <c r="N92" i="8" s="1"/>
  <c r="O92" i="8" s="1"/>
  <c r="P92" i="8" s="1"/>
  <c r="K92" i="3"/>
  <c r="BY91" i="9"/>
  <c r="S91" i="11" s="1"/>
  <c r="P91" i="11" s="1"/>
  <c r="V91" i="9"/>
  <c r="BA91" i="9" s="1"/>
  <c r="BC91" i="9" s="1"/>
  <c r="BQ91" i="9" s="1"/>
  <c r="BR91" i="9" s="1"/>
  <c r="S91" i="9"/>
  <c r="K91" i="8" s="1"/>
  <c r="N91" i="8" s="1"/>
  <c r="O91" i="8" s="1"/>
  <c r="P91" i="8" s="1"/>
  <c r="AG91" i="8" s="1"/>
  <c r="Y91" i="9" s="1"/>
  <c r="AB91" i="9" s="1"/>
  <c r="U91" i="9"/>
  <c r="AZ91" i="9" s="1"/>
  <c r="BM91" i="9" s="1"/>
  <c r="BN91" i="9" s="1"/>
  <c r="Q99" i="6"/>
  <c r="AD100" i="17" s="1"/>
  <c r="R99" i="6"/>
  <c r="AA100" i="17" s="1"/>
  <c r="H94" i="3"/>
  <c r="M94" i="3" s="1"/>
  <c r="M94" i="9" s="1"/>
  <c r="J94" i="12"/>
  <c r="AA96" i="7"/>
  <c r="B95" i="9" s="1"/>
  <c r="AD96" i="7"/>
  <c r="AC96" i="7"/>
  <c r="O94" i="12"/>
  <c r="B94" i="12" s="1"/>
  <c r="AH94" i="9"/>
  <c r="AM94" i="9" s="1"/>
  <c r="AG94" i="9"/>
  <c r="M94" i="12"/>
  <c r="AV87" i="9"/>
  <c r="BI87" i="9"/>
  <c r="BJ87" i="9" s="1"/>
  <c r="K93" i="3"/>
  <c r="L93" i="3"/>
  <c r="N93" i="9" s="1"/>
  <c r="R93" i="3"/>
  <c r="AS93" i="3" s="1"/>
  <c r="D97" i="6"/>
  <c r="N98" i="6"/>
  <c r="H98" i="6"/>
  <c r="L98" i="6"/>
  <c r="F98" i="6"/>
  <c r="M98" i="6"/>
  <c r="K98" i="6"/>
  <c r="J98" i="6"/>
  <c r="I98" i="6"/>
  <c r="G98" i="6"/>
  <c r="E98" i="6"/>
  <c r="T93" i="8"/>
  <c r="S93" i="8" s="1"/>
  <c r="B96" i="6"/>
  <c r="C96" i="6"/>
  <c r="M99" i="8"/>
  <c r="AU99" i="3"/>
  <c r="AN89" i="3"/>
  <c r="AX89" i="3"/>
  <c r="BB89" i="3"/>
  <c r="BC89" i="3" s="1"/>
  <c r="X89" i="11" s="1"/>
  <c r="AI89" i="8"/>
  <c r="Q89" i="12" s="1"/>
  <c r="AG90" i="8"/>
  <c r="Y90" i="9" s="1"/>
  <c r="AB90" i="9" s="1"/>
  <c r="AQ90" i="9" s="1"/>
  <c r="BI89" i="9"/>
  <c r="BJ89" i="9" s="1"/>
  <c r="L96" i="9"/>
  <c r="J96" i="3"/>
  <c r="A102" i="12"/>
  <c r="I96" i="12"/>
  <c r="H97" i="12"/>
  <c r="H100" i="5"/>
  <c r="I100" i="5"/>
  <c r="AI101" i="23" s="1"/>
  <c r="F97" i="3"/>
  <c r="I97" i="3" s="1"/>
  <c r="F97" i="9"/>
  <c r="K97" i="9" s="1"/>
  <c r="A102" i="11"/>
  <c r="Z98" i="3"/>
  <c r="A101" i="8"/>
  <c r="J101" i="5"/>
  <c r="B99" i="5"/>
  <c r="AD100" i="23" s="1"/>
  <c r="E100" i="5"/>
  <c r="AE101" i="23" s="1"/>
  <c r="C100" i="5"/>
  <c r="G100" i="5"/>
  <c r="F100" i="5"/>
  <c r="AF101" i="23" s="1"/>
  <c r="AO100" i="9" s="1"/>
  <c r="D100" i="5"/>
  <c r="R102" i="5"/>
  <c r="Q102" i="5"/>
  <c r="O102" i="5"/>
  <c r="N102" i="5"/>
  <c r="S102" i="5"/>
  <c r="P102" i="5"/>
  <c r="M102" i="5"/>
  <c r="T102" i="5"/>
  <c r="L102" i="5"/>
  <c r="K102" i="5"/>
  <c r="A103" i="5"/>
  <c r="AT101" i="8" l="1"/>
  <c r="AL101" i="8"/>
  <c r="AS101" i="8"/>
  <c r="AR101" i="8"/>
  <c r="AQ101" i="8"/>
  <c r="AP101" i="8"/>
  <c r="AO101" i="8"/>
  <c r="AN101" i="8"/>
  <c r="AU101" i="8"/>
  <c r="AM101" i="8"/>
  <c r="AV101" i="8"/>
  <c r="AW101" i="8"/>
  <c r="AX101" i="8"/>
  <c r="AY101" i="8"/>
  <c r="AZ101" i="8"/>
  <c r="BA101" i="8"/>
  <c r="BB101" i="8"/>
  <c r="BC101" i="8"/>
  <c r="BD101" i="8"/>
  <c r="BE101" i="8"/>
  <c r="BF101" i="8"/>
  <c r="AK100" i="8"/>
  <c r="W92" i="8"/>
  <c r="AH101" i="23"/>
  <c r="U100" i="12" s="1"/>
  <c r="H87" i="11"/>
  <c r="AJ98" i="3"/>
  <c r="AY89" i="3"/>
  <c r="V89" i="11" s="1"/>
  <c r="BH89" i="3"/>
  <c r="BI89" i="3" s="1"/>
  <c r="AA89" i="11" s="1"/>
  <c r="H89" i="11" s="1"/>
  <c r="BT90" i="9"/>
  <c r="BU90" i="9" s="1"/>
  <c r="R90" i="11" s="1"/>
  <c r="BK90" i="9"/>
  <c r="BL90" i="9" s="1"/>
  <c r="AL93" i="9"/>
  <c r="AK94" i="9"/>
  <c r="AJ94" i="9"/>
  <c r="AG101" i="23"/>
  <c r="BC92" i="9"/>
  <c r="BQ92" i="9" s="1"/>
  <c r="BR92" i="9" s="1"/>
  <c r="BN92" i="9"/>
  <c r="BY92" i="9"/>
  <c r="S92" i="11" s="1"/>
  <c r="P92" i="11" s="1"/>
  <c r="U93" i="9"/>
  <c r="AZ93" i="9" s="1"/>
  <c r="BM93" i="9" s="1"/>
  <c r="S93" i="9"/>
  <c r="K93" i="8" s="1"/>
  <c r="N93" i="8" s="1"/>
  <c r="O93" i="8" s="1"/>
  <c r="P93" i="8" s="1"/>
  <c r="J95" i="9"/>
  <c r="AJ96" i="23" s="1"/>
  <c r="AK96" i="23" s="1"/>
  <c r="Q95" i="9"/>
  <c r="O93" i="9"/>
  <c r="D93" i="11" s="1"/>
  <c r="W93" i="9"/>
  <c r="BB93" i="9" s="1"/>
  <c r="AJ95" i="23"/>
  <c r="AK95" i="23" s="1"/>
  <c r="H94" i="8"/>
  <c r="I94" i="8" s="1"/>
  <c r="X94" i="9"/>
  <c r="L94" i="8" s="1"/>
  <c r="H93" i="8"/>
  <c r="I93" i="8" s="1"/>
  <c r="V93" i="9"/>
  <c r="BA93" i="9" s="1"/>
  <c r="T93" i="9"/>
  <c r="X93" i="9"/>
  <c r="L93" i="8" s="1"/>
  <c r="G100" i="12"/>
  <c r="E100" i="9"/>
  <c r="E100" i="3"/>
  <c r="F100" i="12"/>
  <c r="R98" i="9"/>
  <c r="G99" i="9"/>
  <c r="E99" i="12"/>
  <c r="G99" i="3"/>
  <c r="N99" i="3" s="1"/>
  <c r="U101" i="6"/>
  <c r="Z101" i="6"/>
  <c r="T101" i="6"/>
  <c r="W101" i="6"/>
  <c r="AB101" i="6"/>
  <c r="Y101" i="6"/>
  <c r="AC101" i="6"/>
  <c r="AA101" i="6"/>
  <c r="X101" i="6"/>
  <c r="S100" i="6"/>
  <c r="R100" i="6" s="1"/>
  <c r="AA101" i="17" s="1"/>
  <c r="W102" i="6"/>
  <c r="AC98" i="3"/>
  <c r="AC97" i="3"/>
  <c r="K99" i="12"/>
  <c r="B99" i="3"/>
  <c r="P99" i="12"/>
  <c r="AR92" i="9"/>
  <c r="AS90" i="9"/>
  <c r="R90" i="8"/>
  <c r="AF90" i="8" s="1"/>
  <c r="Z90" i="9" s="1"/>
  <c r="AC90" i="9" s="1"/>
  <c r="AT90" i="9" s="1"/>
  <c r="BI90" i="9" s="1"/>
  <c r="BJ90" i="9" s="1"/>
  <c r="AD90" i="8"/>
  <c r="T90" i="3" s="1"/>
  <c r="W90" i="3" s="1"/>
  <c r="AL90" i="3" s="1"/>
  <c r="AX90" i="3" s="1"/>
  <c r="AA90" i="8"/>
  <c r="AC90" i="8" s="1"/>
  <c r="U90" i="3" s="1"/>
  <c r="X90" i="3" s="1"/>
  <c r="AO90" i="3" s="1"/>
  <c r="AU92" i="9"/>
  <c r="BV92" i="9" s="1"/>
  <c r="BW92" i="9" s="1"/>
  <c r="O92" i="11" s="1"/>
  <c r="V92" i="8"/>
  <c r="J92" i="8"/>
  <c r="Q92" i="8" s="1"/>
  <c r="AZ92" i="3"/>
  <c r="BA92" i="3" s="1"/>
  <c r="Z92" i="11" s="1"/>
  <c r="AU91" i="9"/>
  <c r="BV91" i="9" s="1"/>
  <c r="BW91" i="9" s="1"/>
  <c r="O91" i="11" s="1"/>
  <c r="O95" i="3"/>
  <c r="J95" i="12"/>
  <c r="V91" i="8"/>
  <c r="X91" i="8" s="1"/>
  <c r="Y91" i="8" s="1"/>
  <c r="Z91" i="8" s="1"/>
  <c r="AE91" i="8" s="1"/>
  <c r="V91" i="3" s="1"/>
  <c r="Y91" i="3" s="1"/>
  <c r="AR91" i="3" s="1"/>
  <c r="BF91" i="3" s="1"/>
  <c r="BG91" i="3" s="1"/>
  <c r="W91" i="11" s="1"/>
  <c r="AR91" i="9"/>
  <c r="AQ91" i="9"/>
  <c r="J91" i="8"/>
  <c r="R91" i="8" s="1"/>
  <c r="AF91" i="8" s="1"/>
  <c r="O94" i="3"/>
  <c r="Q94" i="3"/>
  <c r="P94" i="3"/>
  <c r="AA97" i="7"/>
  <c r="J96" i="12" s="1"/>
  <c r="K94" i="3"/>
  <c r="AD97" i="7"/>
  <c r="AC97" i="7"/>
  <c r="O95" i="12"/>
  <c r="B95" i="12" s="1"/>
  <c r="AH95" i="9"/>
  <c r="AM95" i="9" s="1"/>
  <c r="M95" i="12"/>
  <c r="AG95" i="9"/>
  <c r="Q95" i="3"/>
  <c r="C97" i="6"/>
  <c r="B97" i="6"/>
  <c r="R94" i="3"/>
  <c r="AS94" i="3" s="1"/>
  <c r="L94" i="3"/>
  <c r="N94" i="9" s="1"/>
  <c r="D98" i="6"/>
  <c r="L99" i="6"/>
  <c r="I99" i="6"/>
  <c r="H99" i="6"/>
  <c r="G99" i="6"/>
  <c r="K99" i="6"/>
  <c r="E99" i="6"/>
  <c r="N99" i="6"/>
  <c r="J99" i="6"/>
  <c r="F99" i="6"/>
  <c r="M99" i="6"/>
  <c r="P93" i="9"/>
  <c r="M100" i="8"/>
  <c r="AU100" i="3"/>
  <c r="AH91" i="8"/>
  <c r="AA91" i="9" s="1"/>
  <c r="AD91" i="9" s="1"/>
  <c r="AX91" i="9" s="1"/>
  <c r="O94" i="9"/>
  <c r="D94" i="11" s="1"/>
  <c r="V94" i="9"/>
  <c r="BA94" i="9" s="1"/>
  <c r="BC94" i="9" s="1"/>
  <c r="BQ94" i="9" s="1"/>
  <c r="U94" i="9"/>
  <c r="AZ94" i="9" s="1"/>
  <c r="BM94" i="9" s="1"/>
  <c r="T94" i="9"/>
  <c r="S94" i="9"/>
  <c r="K94" i="8" s="1"/>
  <c r="N94" i="8" s="1"/>
  <c r="O94" i="8" s="1"/>
  <c r="P94" i="8" s="1"/>
  <c r="J97" i="3"/>
  <c r="A103" i="12"/>
  <c r="I97" i="12"/>
  <c r="H98" i="12"/>
  <c r="I101" i="5"/>
  <c r="AI102" i="23" s="1"/>
  <c r="L97" i="9"/>
  <c r="F98" i="9"/>
  <c r="K98" i="9" s="1"/>
  <c r="F98" i="3"/>
  <c r="A103" i="11"/>
  <c r="G101" i="5"/>
  <c r="H101" i="5"/>
  <c r="Z99" i="3"/>
  <c r="F101" i="5"/>
  <c r="AF102" i="23" s="1"/>
  <c r="AO101" i="9" s="1"/>
  <c r="A102" i="8"/>
  <c r="C101" i="5"/>
  <c r="D101" i="5"/>
  <c r="E101" i="5"/>
  <c r="AE102" i="23" s="1"/>
  <c r="B100" i="5"/>
  <c r="AD101" i="23" s="1"/>
  <c r="P103" i="5"/>
  <c r="Q103" i="5"/>
  <c r="O103" i="5"/>
  <c r="N103" i="5"/>
  <c r="S103" i="5"/>
  <c r="K103" i="5"/>
  <c r="M103" i="5"/>
  <c r="L103" i="5"/>
  <c r="T103" i="5"/>
  <c r="R103" i="5"/>
  <c r="J102" i="5"/>
  <c r="A104" i="5"/>
  <c r="AD100" i="3" l="1"/>
  <c r="AR102" i="8"/>
  <c r="AQ102" i="8"/>
  <c r="AP102" i="8"/>
  <c r="AO102" i="8"/>
  <c r="AN102" i="8"/>
  <c r="AU102" i="8"/>
  <c r="AM102" i="8"/>
  <c r="AT102" i="8"/>
  <c r="AL102" i="8"/>
  <c r="AS102" i="8"/>
  <c r="AV102" i="8"/>
  <c r="AW102" i="8"/>
  <c r="AX102" i="8"/>
  <c r="AY102" i="8"/>
  <c r="AZ102" i="8"/>
  <c r="BA102" i="8"/>
  <c r="BB102" i="8"/>
  <c r="BC102" i="8"/>
  <c r="BD102" i="8"/>
  <c r="BE102" i="8"/>
  <c r="BF102" i="8"/>
  <c r="C100" i="8"/>
  <c r="D100" i="8" s="1"/>
  <c r="B100" i="8"/>
  <c r="AJ100" i="8" s="1"/>
  <c r="G100" i="8"/>
  <c r="AK101" i="8"/>
  <c r="X92" i="8"/>
  <c r="Y92" i="8" s="1"/>
  <c r="AA92" i="8" s="1"/>
  <c r="AC92" i="8" s="1"/>
  <c r="U92" i="3" s="1"/>
  <c r="X92" i="3" s="1"/>
  <c r="AO92" i="3" s="1"/>
  <c r="AH102" i="23"/>
  <c r="U101" i="12" s="1"/>
  <c r="T94" i="8"/>
  <c r="W94" i="8" s="1"/>
  <c r="AM94" i="3"/>
  <c r="AZ94" i="3" s="1"/>
  <c r="BA94" i="3" s="1"/>
  <c r="Z94" i="11" s="1"/>
  <c r="AI98" i="3"/>
  <c r="AK98" i="3" s="1"/>
  <c r="AI97" i="3"/>
  <c r="AK97" i="3" s="1"/>
  <c r="AJ99" i="3"/>
  <c r="BT92" i="9"/>
  <c r="BU92" i="9" s="1"/>
  <c r="R92" i="11" s="1"/>
  <c r="BK92" i="9"/>
  <c r="BL92" i="9" s="1"/>
  <c r="AY90" i="3"/>
  <c r="V90" i="11" s="1"/>
  <c r="BT91" i="9"/>
  <c r="BU91" i="9" s="1"/>
  <c r="R91" i="11" s="1"/>
  <c r="BK91" i="9"/>
  <c r="BL91" i="9" s="1"/>
  <c r="AL94" i="9"/>
  <c r="AU94" i="9" s="1"/>
  <c r="BV94" i="9" s="1"/>
  <c r="BW94" i="9" s="1"/>
  <c r="O94" i="11" s="1"/>
  <c r="AK95" i="9"/>
  <c r="AJ95" i="9"/>
  <c r="Q100" i="6"/>
  <c r="AD101" i="17" s="1"/>
  <c r="AC100" i="3" s="1"/>
  <c r="AG102" i="23"/>
  <c r="BC93" i="9"/>
  <c r="BQ93" i="9" s="1"/>
  <c r="BR93" i="9" s="1"/>
  <c r="J93" i="8"/>
  <c r="Q93" i="8" s="1"/>
  <c r="V93" i="8"/>
  <c r="AR93" i="9"/>
  <c r="H95" i="8"/>
  <c r="I95" i="8" s="1"/>
  <c r="X95" i="9"/>
  <c r="L95" i="8" s="1"/>
  <c r="W95" i="9"/>
  <c r="BB95" i="9" s="1"/>
  <c r="W93" i="8"/>
  <c r="AU93" i="9"/>
  <c r="BV93" i="9" s="1"/>
  <c r="BW93" i="9" s="1"/>
  <c r="O93" i="11" s="1"/>
  <c r="BX93" i="9"/>
  <c r="BY93" i="9" s="1"/>
  <c r="S93" i="11" s="1"/>
  <c r="P93" i="11" s="1"/>
  <c r="BN93" i="9"/>
  <c r="AZ93" i="3"/>
  <c r="BA93" i="3" s="1"/>
  <c r="Z93" i="11" s="1"/>
  <c r="AD101" i="3"/>
  <c r="E101" i="9"/>
  <c r="E101" i="3"/>
  <c r="F101" i="12"/>
  <c r="G101" i="12"/>
  <c r="E100" i="12"/>
  <c r="G100" i="3"/>
  <c r="N100" i="3" s="1"/>
  <c r="G100" i="9"/>
  <c r="R99" i="9"/>
  <c r="AC102" i="6"/>
  <c r="S101" i="6"/>
  <c r="R101" i="6" s="1"/>
  <c r="AA102" i="17" s="1"/>
  <c r="Y102" i="6"/>
  <c r="V102" i="6"/>
  <c r="T102" i="6"/>
  <c r="Z102" i="6"/>
  <c r="AA102" i="6"/>
  <c r="X102" i="6"/>
  <c r="U102" i="6"/>
  <c r="AB102" i="6"/>
  <c r="Z103" i="6"/>
  <c r="AV90" i="9"/>
  <c r="AI90" i="8"/>
  <c r="Q90" i="12" s="1"/>
  <c r="AC99" i="3"/>
  <c r="K100" i="12"/>
  <c r="B100" i="3"/>
  <c r="AN90" i="3"/>
  <c r="BB90" i="3"/>
  <c r="BC90" i="3" s="1"/>
  <c r="X90" i="11" s="1"/>
  <c r="Q91" i="8"/>
  <c r="AS91" i="9"/>
  <c r="P95" i="3"/>
  <c r="AM95" i="3" s="1"/>
  <c r="H95" i="3"/>
  <c r="R95" i="3" s="1"/>
  <c r="AS95" i="3" s="1"/>
  <c r="AA91" i="8"/>
  <c r="AC91" i="8" s="1"/>
  <c r="U91" i="3" s="1"/>
  <c r="X91" i="3" s="1"/>
  <c r="AO91" i="3" s="1"/>
  <c r="AD91" i="8"/>
  <c r="T91" i="3" s="1"/>
  <c r="W91" i="3" s="1"/>
  <c r="AL91" i="3" s="1"/>
  <c r="AN91" i="3" s="1"/>
  <c r="V103" i="6"/>
  <c r="P96" i="3"/>
  <c r="AM96" i="3" s="1"/>
  <c r="AA98" i="7"/>
  <c r="B97" i="9" s="1"/>
  <c r="B96" i="9"/>
  <c r="M96" i="12"/>
  <c r="AG96" i="9"/>
  <c r="AC98" i="7"/>
  <c r="AD98" i="7"/>
  <c r="O96" i="12"/>
  <c r="B96" i="12" s="1"/>
  <c r="AH96" i="9"/>
  <c r="AM96" i="9" s="1"/>
  <c r="D99" i="6"/>
  <c r="P94" i="9"/>
  <c r="AR94" i="9"/>
  <c r="N100" i="6"/>
  <c r="I100" i="6"/>
  <c r="J100" i="6"/>
  <c r="F100" i="6"/>
  <c r="K100" i="6"/>
  <c r="G100" i="6"/>
  <c r="E100" i="6"/>
  <c r="L100" i="6"/>
  <c r="M100" i="6"/>
  <c r="H100" i="6"/>
  <c r="C98" i="6"/>
  <c r="B98" i="6"/>
  <c r="M101" i="8"/>
  <c r="AU101" i="3"/>
  <c r="AG92" i="8"/>
  <c r="Y92" i="9" s="1"/>
  <c r="AB92" i="9" s="1"/>
  <c r="AQ92" i="9" s="1"/>
  <c r="AS92" i="9" s="1"/>
  <c r="AI91" i="8"/>
  <c r="Q91" i="12" s="1"/>
  <c r="AH92" i="8"/>
  <c r="AA92" i="9" s="1"/>
  <c r="AD92" i="9" s="1"/>
  <c r="AX92" i="9" s="1"/>
  <c r="Z91" i="9"/>
  <c r="AC91" i="9" s="1"/>
  <c r="AT91" i="9" s="1"/>
  <c r="AV91" i="9" s="1"/>
  <c r="R92" i="8"/>
  <c r="AF92" i="8" s="1"/>
  <c r="BR94" i="9"/>
  <c r="V94" i="8"/>
  <c r="J94" i="8"/>
  <c r="BN94" i="9"/>
  <c r="I98" i="12"/>
  <c r="A104" i="12"/>
  <c r="H99" i="12"/>
  <c r="H102" i="5"/>
  <c r="I102" i="5"/>
  <c r="AI103" i="23" s="1"/>
  <c r="L98" i="9"/>
  <c r="I98" i="3"/>
  <c r="F99" i="9"/>
  <c r="K99" i="9" s="1"/>
  <c r="F99" i="3"/>
  <c r="A104" i="11"/>
  <c r="Z100" i="3"/>
  <c r="B101" i="5"/>
  <c r="AD102" i="23" s="1"/>
  <c r="A103" i="8"/>
  <c r="N104" i="5"/>
  <c r="P104" i="5"/>
  <c r="Q104" i="5"/>
  <c r="O104" i="5"/>
  <c r="S104" i="5"/>
  <c r="L104" i="5"/>
  <c r="K104" i="5"/>
  <c r="R104" i="5"/>
  <c r="M104" i="5"/>
  <c r="T104" i="5"/>
  <c r="E102" i="5"/>
  <c r="AE103" i="23" s="1"/>
  <c r="D102" i="5"/>
  <c r="F102" i="5"/>
  <c r="AF103" i="23" s="1"/>
  <c r="AO102" i="9" s="1"/>
  <c r="C102" i="5"/>
  <c r="G102" i="5"/>
  <c r="J103" i="5"/>
  <c r="A105" i="5"/>
  <c r="AK102" i="8" l="1"/>
  <c r="AP103" i="8"/>
  <c r="AO103" i="8"/>
  <c r="AN103" i="8"/>
  <c r="AU103" i="8"/>
  <c r="AM103" i="8"/>
  <c r="AT103" i="8"/>
  <c r="AL103" i="8"/>
  <c r="AS103" i="8"/>
  <c r="AR103" i="8"/>
  <c r="AQ103" i="8"/>
  <c r="AV103" i="8"/>
  <c r="AW103" i="8"/>
  <c r="AX103" i="8"/>
  <c r="AY103" i="8"/>
  <c r="AZ103" i="8"/>
  <c r="BA103" i="8"/>
  <c r="BB103" i="8"/>
  <c r="BC103" i="8"/>
  <c r="BD103" i="8"/>
  <c r="BE103" i="8"/>
  <c r="BF103" i="8"/>
  <c r="G101" i="8"/>
  <c r="B101" i="8"/>
  <c r="AJ101" i="8" s="1"/>
  <c r="C101" i="8"/>
  <c r="D101" i="8" s="1"/>
  <c r="AD92" i="8"/>
  <c r="T92" i="3" s="1"/>
  <c r="W92" i="3" s="1"/>
  <c r="AL92" i="3" s="1"/>
  <c r="AN92" i="3" s="1"/>
  <c r="Z92" i="8"/>
  <c r="AE92" i="8" s="1"/>
  <c r="V92" i="3" s="1"/>
  <c r="Y92" i="3" s="1"/>
  <c r="AR92" i="3" s="1"/>
  <c r="BF92" i="3" s="1"/>
  <c r="BG92" i="3" s="1"/>
  <c r="W92" i="11" s="1"/>
  <c r="S94" i="8"/>
  <c r="AH103" i="23"/>
  <c r="U102" i="12" s="1"/>
  <c r="AI99" i="3"/>
  <c r="AK99" i="3" s="1"/>
  <c r="AI100" i="3"/>
  <c r="AJ100" i="3"/>
  <c r="BT94" i="9"/>
  <c r="BU94" i="9" s="1"/>
  <c r="R94" i="11" s="1"/>
  <c r="BK94" i="9"/>
  <c r="BL94" i="9" s="1"/>
  <c r="BT93" i="9"/>
  <c r="BU93" i="9" s="1"/>
  <c r="R93" i="11" s="1"/>
  <c r="BK93" i="9"/>
  <c r="BL93" i="9" s="1"/>
  <c r="BH90" i="3"/>
  <c r="BI90" i="3" s="1"/>
  <c r="AA90" i="11" s="1"/>
  <c r="H90" i="11" s="1"/>
  <c r="AJ96" i="9"/>
  <c r="AK96" i="9"/>
  <c r="AL95" i="9"/>
  <c r="AG103" i="23"/>
  <c r="X93" i="8"/>
  <c r="Y93" i="8" s="1"/>
  <c r="AA93" i="8" s="1"/>
  <c r="AC93" i="8" s="1"/>
  <c r="U93" i="3" s="1"/>
  <c r="X93" i="3" s="1"/>
  <c r="AO93" i="3" s="1"/>
  <c r="J97" i="9"/>
  <c r="AJ98" i="23" s="1"/>
  <c r="AK98" i="23" s="1"/>
  <c r="Q97" i="9"/>
  <c r="J96" i="9"/>
  <c r="H96" i="8" s="1"/>
  <c r="I96" i="8" s="1"/>
  <c r="Q96" i="9"/>
  <c r="E102" i="3"/>
  <c r="E102" i="9"/>
  <c r="F102" i="12"/>
  <c r="G102" i="12"/>
  <c r="AD102" i="3"/>
  <c r="R100" i="9"/>
  <c r="G101" i="9"/>
  <c r="E101" i="12"/>
  <c r="G101" i="3"/>
  <c r="N101" i="3" s="1"/>
  <c r="Q101" i="6"/>
  <c r="AD102" i="17" s="1"/>
  <c r="P101" i="12" s="1"/>
  <c r="S102" i="6"/>
  <c r="Q102" i="6" s="1"/>
  <c r="AD103" i="17" s="1"/>
  <c r="AC103" i="6"/>
  <c r="X103" i="6"/>
  <c r="Y103" i="6"/>
  <c r="AA103" i="6"/>
  <c r="AB103" i="6"/>
  <c r="AA104" i="6"/>
  <c r="T103" i="6"/>
  <c r="U103" i="6"/>
  <c r="W103" i="6"/>
  <c r="P100" i="12"/>
  <c r="B101" i="3"/>
  <c r="K101" i="12"/>
  <c r="T95" i="8"/>
  <c r="S95" i="8" s="1"/>
  <c r="BB91" i="3"/>
  <c r="BC91" i="3" s="1"/>
  <c r="X91" i="11" s="1"/>
  <c r="L95" i="3"/>
  <c r="N95" i="9" s="1"/>
  <c r="K95" i="3"/>
  <c r="M95" i="3"/>
  <c r="M95" i="9" s="1"/>
  <c r="T95" i="9" s="1"/>
  <c r="AX91" i="3"/>
  <c r="BX94" i="9"/>
  <c r="BY94" i="9" s="1"/>
  <c r="S94" i="11" s="1"/>
  <c r="P94" i="11" s="1"/>
  <c r="Q96" i="3"/>
  <c r="O96" i="3"/>
  <c r="H96" i="3"/>
  <c r="M96" i="3" s="1"/>
  <c r="M96" i="9" s="1"/>
  <c r="AB104" i="6"/>
  <c r="U104" i="6"/>
  <c r="J97" i="12"/>
  <c r="AA99" i="7"/>
  <c r="AC99" i="7"/>
  <c r="AD99" i="7"/>
  <c r="M97" i="12"/>
  <c r="AG97" i="9"/>
  <c r="AH97" i="9"/>
  <c r="AM97" i="9" s="1"/>
  <c r="O97" i="12"/>
  <c r="B97" i="12" s="1"/>
  <c r="D100" i="6"/>
  <c r="Q97" i="3"/>
  <c r="H97" i="3"/>
  <c r="K97" i="3" s="1"/>
  <c r="P97" i="3"/>
  <c r="AM97" i="3" s="1"/>
  <c r="O97" i="3"/>
  <c r="K101" i="6"/>
  <c r="F101" i="6"/>
  <c r="M101" i="6"/>
  <c r="N101" i="6"/>
  <c r="G101" i="6"/>
  <c r="J101" i="6"/>
  <c r="I101" i="6"/>
  <c r="H101" i="6"/>
  <c r="E101" i="6"/>
  <c r="L101" i="6"/>
  <c r="C99" i="6"/>
  <c r="B99" i="6"/>
  <c r="X94" i="8"/>
  <c r="Y94" i="8" s="1"/>
  <c r="T96" i="8"/>
  <c r="BX95" i="9"/>
  <c r="AZ95" i="3"/>
  <c r="BA95" i="3" s="1"/>
  <c r="Z95" i="11" s="1"/>
  <c r="M102" i="8"/>
  <c r="AU102" i="3"/>
  <c r="BB92" i="3"/>
  <c r="BC92" i="3" s="1"/>
  <c r="X92" i="11" s="1"/>
  <c r="AG93" i="8"/>
  <c r="Y93" i="9" s="1"/>
  <c r="AB93" i="9" s="1"/>
  <c r="AQ93" i="9" s="1"/>
  <c r="AS93" i="9" s="1"/>
  <c r="AI92" i="8"/>
  <c r="Q92" i="12" s="1"/>
  <c r="Z92" i="9"/>
  <c r="AC92" i="9" s="1"/>
  <c r="AT92" i="9" s="1"/>
  <c r="AV92" i="9" s="1"/>
  <c r="AH93" i="8"/>
  <c r="AA93" i="9" s="1"/>
  <c r="AD93" i="9" s="1"/>
  <c r="AX93" i="9" s="1"/>
  <c r="R93" i="8"/>
  <c r="AF93" i="8" s="1"/>
  <c r="Z93" i="9" s="1"/>
  <c r="AC93" i="9" s="1"/>
  <c r="AT93" i="9" s="1"/>
  <c r="AV93" i="9" s="1"/>
  <c r="BI91" i="9"/>
  <c r="BJ91" i="9" s="1"/>
  <c r="Q94" i="8"/>
  <c r="L99" i="9"/>
  <c r="J98" i="3"/>
  <c r="A105" i="12"/>
  <c r="I99" i="12"/>
  <c r="H100" i="12"/>
  <c r="H103" i="5"/>
  <c r="I103" i="5"/>
  <c r="AI104" i="23" s="1"/>
  <c r="F100" i="9"/>
  <c r="F100" i="3"/>
  <c r="I99" i="3"/>
  <c r="A105" i="11"/>
  <c r="Z101" i="3"/>
  <c r="A104" i="8"/>
  <c r="B102" i="5"/>
  <c r="AD103" i="23" s="1"/>
  <c r="T105" i="5"/>
  <c r="L105" i="5"/>
  <c r="O105" i="5"/>
  <c r="K105" i="5"/>
  <c r="R105" i="5"/>
  <c r="Q105" i="5"/>
  <c r="S105" i="5"/>
  <c r="P105" i="5"/>
  <c r="N105" i="5"/>
  <c r="M105" i="5"/>
  <c r="G103" i="5"/>
  <c r="D103" i="5"/>
  <c r="C103" i="5"/>
  <c r="F103" i="5"/>
  <c r="AF104" i="23" s="1"/>
  <c r="AO103" i="9" s="1"/>
  <c r="E103" i="5"/>
  <c r="AE104" i="23" s="1"/>
  <c r="J104" i="5"/>
  <c r="A106" i="5"/>
  <c r="AN104" i="8" l="1"/>
  <c r="AU104" i="8"/>
  <c r="AM104" i="8"/>
  <c r="AT104" i="8"/>
  <c r="AL104" i="8"/>
  <c r="AS104" i="8"/>
  <c r="AR104" i="8"/>
  <c r="AQ104" i="8"/>
  <c r="AP104" i="8"/>
  <c r="AO104" i="8"/>
  <c r="AV104" i="8"/>
  <c r="AW104" i="8"/>
  <c r="AX104" i="8"/>
  <c r="AY104" i="8"/>
  <c r="AZ104" i="8"/>
  <c r="BA104" i="8"/>
  <c r="BB104" i="8"/>
  <c r="BC104" i="8"/>
  <c r="BD104" i="8"/>
  <c r="BE104" i="8"/>
  <c r="BF104" i="8"/>
  <c r="AK103" i="8"/>
  <c r="C102" i="8"/>
  <c r="D102" i="8" s="1"/>
  <c r="B102" i="8"/>
  <c r="AJ102" i="8" s="1"/>
  <c r="G102" i="8"/>
  <c r="AX92" i="3"/>
  <c r="BH92" i="3" s="1"/>
  <c r="BI92" i="3" s="1"/>
  <c r="AA92" i="11" s="1"/>
  <c r="AA94" i="8"/>
  <c r="AC94" i="8" s="1"/>
  <c r="U94" i="3" s="1"/>
  <c r="X94" i="3" s="1"/>
  <c r="AO94" i="3" s="1"/>
  <c r="R102" i="6"/>
  <c r="AA103" i="17" s="1"/>
  <c r="B102" i="3" s="1"/>
  <c r="AH104" i="23"/>
  <c r="U103" i="12" s="1"/>
  <c r="AK100" i="3"/>
  <c r="AJ101" i="3"/>
  <c r="AY91" i="3"/>
  <c r="V91" i="11" s="1"/>
  <c r="BH91" i="3"/>
  <c r="BI91" i="3" s="1"/>
  <c r="AA91" i="11" s="1"/>
  <c r="H91" i="11" s="1"/>
  <c r="AL96" i="9"/>
  <c r="AJ97" i="9"/>
  <c r="AK97" i="9"/>
  <c r="AG104" i="23"/>
  <c r="Z93" i="8"/>
  <c r="AE93" i="8" s="1"/>
  <c r="V93" i="3" s="1"/>
  <c r="Y93" i="3" s="1"/>
  <c r="AR93" i="3" s="1"/>
  <c r="BF93" i="3" s="1"/>
  <c r="BG93" i="3" s="1"/>
  <c r="W93" i="11" s="1"/>
  <c r="AD93" i="8"/>
  <c r="T93" i="3" s="1"/>
  <c r="W93" i="3" s="1"/>
  <c r="AL93" i="3" s="1"/>
  <c r="AN93" i="3" s="1"/>
  <c r="X97" i="9"/>
  <c r="L97" i="8" s="1"/>
  <c r="W97" i="9"/>
  <c r="BB97" i="9" s="1"/>
  <c r="H97" i="8"/>
  <c r="I97" i="8" s="1"/>
  <c r="V96" i="9"/>
  <c r="BA96" i="9" s="1"/>
  <c r="X96" i="9"/>
  <c r="L96" i="8" s="1"/>
  <c r="W96" i="9"/>
  <c r="BB96" i="9" s="1"/>
  <c r="AJ97" i="23"/>
  <c r="AK97" i="23" s="1"/>
  <c r="E103" i="9"/>
  <c r="E103" i="3"/>
  <c r="F103" i="12"/>
  <c r="G103" i="12"/>
  <c r="AD103" i="3"/>
  <c r="R101" i="9"/>
  <c r="E102" i="12"/>
  <c r="G102" i="3"/>
  <c r="N102" i="3" s="1"/>
  <c r="G102" i="9"/>
  <c r="S103" i="6"/>
  <c r="Q103" i="6" s="1"/>
  <c r="AD104" i="17" s="1"/>
  <c r="X104" i="6"/>
  <c r="AC104" i="6"/>
  <c r="T104" i="6"/>
  <c r="Z104" i="6"/>
  <c r="Y104" i="6"/>
  <c r="V104" i="6"/>
  <c r="W104" i="6"/>
  <c r="AC101" i="3"/>
  <c r="AI101" i="3" s="1"/>
  <c r="W95" i="8"/>
  <c r="P102" i="12"/>
  <c r="P95" i="9"/>
  <c r="K96" i="3"/>
  <c r="O95" i="9"/>
  <c r="D95" i="11" s="1"/>
  <c r="U95" i="9"/>
  <c r="AZ95" i="9" s="1"/>
  <c r="BM95" i="9" s="1"/>
  <c r="S95" i="9"/>
  <c r="K95" i="8" s="1"/>
  <c r="J95" i="8" s="1"/>
  <c r="R96" i="3"/>
  <c r="AS96" i="3" s="1"/>
  <c r="V95" i="9"/>
  <c r="BA95" i="9" s="1"/>
  <c r="BC95" i="9" s="1"/>
  <c r="BQ95" i="9" s="1"/>
  <c r="B98" i="9"/>
  <c r="U96" i="9"/>
  <c r="AZ96" i="9" s="1"/>
  <c r="BM96" i="9" s="1"/>
  <c r="T96" i="9"/>
  <c r="W96" i="8" s="1"/>
  <c r="S96" i="9"/>
  <c r="K96" i="8" s="1"/>
  <c r="N96" i="8" s="1"/>
  <c r="O96" i="8" s="1"/>
  <c r="P96" i="8" s="1"/>
  <c r="AH96" i="8" s="1"/>
  <c r="AA96" i="9" s="1"/>
  <c r="AD96" i="9" s="1"/>
  <c r="S96" i="8"/>
  <c r="J98" i="12"/>
  <c r="O96" i="9"/>
  <c r="D96" i="11" s="1"/>
  <c r="L96" i="3"/>
  <c r="N96" i="9" s="1"/>
  <c r="P96" i="9" s="1"/>
  <c r="AC105" i="6"/>
  <c r="T105" i="6"/>
  <c r="AB105" i="6"/>
  <c r="AA105" i="6"/>
  <c r="Z105" i="6"/>
  <c r="W105" i="6"/>
  <c r="V105" i="6"/>
  <c r="Y105" i="6"/>
  <c r="U105" i="6"/>
  <c r="X105" i="6"/>
  <c r="AA100" i="7"/>
  <c r="J99" i="12" s="1"/>
  <c r="AD100" i="7"/>
  <c r="AC100" i="7"/>
  <c r="AH98" i="9"/>
  <c r="AM98" i="9" s="1"/>
  <c r="O98" i="12"/>
  <c r="B98" i="12" s="1"/>
  <c r="M98" i="12"/>
  <c r="AG98" i="9"/>
  <c r="AD94" i="8"/>
  <c r="T94" i="3" s="1"/>
  <c r="W94" i="3" s="1"/>
  <c r="AL94" i="3" s="1"/>
  <c r="Z94" i="8"/>
  <c r="AE94" i="8" s="1"/>
  <c r="V94" i="3" s="1"/>
  <c r="Y94" i="3" s="1"/>
  <c r="AR94" i="3" s="1"/>
  <c r="BF94" i="3" s="1"/>
  <c r="BG94" i="3" s="1"/>
  <c r="W94" i="11" s="1"/>
  <c r="AU95" i="9"/>
  <c r="BV95" i="9" s="1"/>
  <c r="D101" i="6"/>
  <c r="L102" i="6"/>
  <c r="G102" i="6"/>
  <c r="J102" i="6"/>
  <c r="I102" i="6"/>
  <c r="M102" i="6"/>
  <c r="K102" i="6"/>
  <c r="E102" i="6"/>
  <c r="H102" i="6"/>
  <c r="F102" i="6"/>
  <c r="N102" i="6"/>
  <c r="T97" i="8"/>
  <c r="S97" i="8" s="1"/>
  <c r="L97" i="3"/>
  <c r="N97" i="9" s="1"/>
  <c r="R97" i="3"/>
  <c r="AS97" i="3" s="1"/>
  <c r="M97" i="3"/>
  <c r="M97" i="9" s="1"/>
  <c r="P98" i="3"/>
  <c r="AM98" i="3" s="1"/>
  <c r="Q98" i="3"/>
  <c r="H98" i="3"/>
  <c r="K98" i="3" s="1"/>
  <c r="O98" i="3"/>
  <c r="C100" i="6"/>
  <c r="B100" i="6"/>
  <c r="M103" i="8"/>
  <c r="AU103" i="3"/>
  <c r="BB93" i="3"/>
  <c r="BC93" i="3" s="1"/>
  <c r="X93" i="11" s="1"/>
  <c r="BI92" i="9"/>
  <c r="BJ92" i="9" s="1"/>
  <c r="AG94" i="8"/>
  <c r="Y94" i="9" s="1"/>
  <c r="AB94" i="9" s="1"/>
  <c r="AQ94" i="9" s="1"/>
  <c r="AS94" i="9" s="1"/>
  <c r="R94" i="8"/>
  <c r="AF94" i="8" s="1"/>
  <c r="AI93" i="8"/>
  <c r="Q93" i="12" s="1"/>
  <c r="AH94" i="8"/>
  <c r="AA94" i="9" s="1"/>
  <c r="AD94" i="9" s="1"/>
  <c r="AX94" i="9" s="1"/>
  <c r="BI93" i="9"/>
  <c r="BJ93" i="9" s="1"/>
  <c r="J99" i="3"/>
  <c r="I100" i="12"/>
  <c r="A106" i="12"/>
  <c r="H101" i="12"/>
  <c r="H104" i="5"/>
  <c r="I104" i="5"/>
  <c r="AI105" i="23" s="1"/>
  <c r="F101" i="3"/>
  <c r="F101" i="9"/>
  <c r="K101" i="9" s="1"/>
  <c r="I100" i="3"/>
  <c r="K100" i="9"/>
  <c r="A106" i="11"/>
  <c r="Z102" i="3"/>
  <c r="A105" i="8"/>
  <c r="B103" i="5"/>
  <c r="AD104" i="23" s="1"/>
  <c r="J105" i="5"/>
  <c r="N106" i="5"/>
  <c r="S106" i="5"/>
  <c r="O106" i="5"/>
  <c r="K106" i="5"/>
  <c r="T106" i="5"/>
  <c r="L106" i="5"/>
  <c r="M106" i="5"/>
  <c r="Q106" i="5"/>
  <c r="P106" i="5"/>
  <c r="R106" i="5"/>
  <c r="C104" i="5"/>
  <c r="E104" i="5"/>
  <c r="AE105" i="23" s="1"/>
  <c r="D104" i="5"/>
  <c r="F104" i="5"/>
  <c r="AF105" i="23" s="1"/>
  <c r="AO104" i="9" s="1"/>
  <c r="G104" i="5"/>
  <c r="G103" i="8" l="1"/>
  <c r="B103" i="8"/>
  <c r="AJ103" i="8" s="1"/>
  <c r="C103" i="8"/>
  <c r="D103" i="8" s="1"/>
  <c r="AK104" i="8"/>
  <c r="AT105" i="8"/>
  <c r="AL105" i="8"/>
  <c r="AS105" i="8"/>
  <c r="AR105" i="8"/>
  <c r="AQ105" i="8"/>
  <c r="AP105" i="8"/>
  <c r="AO105" i="8"/>
  <c r="AN105" i="8"/>
  <c r="AU105" i="8"/>
  <c r="AM105" i="8"/>
  <c r="AV105" i="8"/>
  <c r="AW105" i="8"/>
  <c r="AX105" i="8"/>
  <c r="AY105" i="8"/>
  <c r="AZ105" i="8"/>
  <c r="BA105" i="8"/>
  <c r="BB105" i="8"/>
  <c r="BC105" i="8"/>
  <c r="BD105" i="8"/>
  <c r="BE105" i="8"/>
  <c r="BF105" i="8"/>
  <c r="K102" i="12"/>
  <c r="AY92" i="3"/>
  <c r="V92" i="11" s="1"/>
  <c r="AH105" i="23"/>
  <c r="U104" i="12" s="1"/>
  <c r="AK101" i="3"/>
  <c r="H92" i="11"/>
  <c r="AJ102" i="3"/>
  <c r="AL97" i="9"/>
  <c r="AK98" i="9"/>
  <c r="AJ98" i="9"/>
  <c r="AX96" i="9"/>
  <c r="AX93" i="3"/>
  <c r="AG105" i="23"/>
  <c r="BX96" i="9"/>
  <c r="BY96" i="9" s="1"/>
  <c r="S96" i="11" s="1"/>
  <c r="P96" i="11" s="1"/>
  <c r="BC96" i="9"/>
  <c r="BQ96" i="9" s="1"/>
  <c r="BR96" i="9" s="1"/>
  <c r="AZ96" i="3"/>
  <c r="BA96" i="3" s="1"/>
  <c r="Z96" i="11" s="1"/>
  <c r="J98" i="9"/>
  <c r="AJ99" i="23" s="1"/>
  <c r="AK99" i="23" s="1"/>
  <c r="Q98" i="9"/>
  <c r="F104" i="12"/>
  <c r="E104" i="3"/>
  <c r="E104" i="9"/>
  <c r="E103" i="12"/>
  <c r="G103" i="9"/>
  <c r="G103" i="3"/>
  <c r="N103" i="3" s="1"/>
  <c r="R102" i="9"/>
  <c r="G104" i="12"/>
  <c r="R103" i="6"/>
  <c r="AA104" i="17" s="1"/>
  <c r="B103" i="3" s="1"/>
  <c r="S104" i="6"/>
  <c r="Q104" i="6" s="1"/>
  <c r="AD105" i="17" s="1"/>
  <c r="X106" i="6"/>
  <c r="AC102" i="3"/>
  <c r="BN95" i="9"/>
  <c r="AC103" i="3"/>
  <c r="BY95" i="9"/>
  <c r="S95" i="11" s="1"/>
  <c r="P95" i="11" s="1"/>
  <c r="BR95" i="9"/>
  <c r="BW95" i="9"/>
  <c r="O95" i="11" s="1"/>
  <c r="N95" i="8"/>
  <c r="O95" i="8" s="1"/>
  <c r="P95" i="8" s="1"/>
  <c r="AR95" i="9"/>
  <c r="BK95" i="9" s="1"/>
  <c r="BL95" i="9" s="1"/>
  <c r="V96" i="8"/>
  <c r="X96" i="8" s="1"/>
  <c r="Y96" i="8" s="1"/>
  <c r="AD96" i="8" s="1"/>
  <c r="T96" i="3" s="1"/>
  <c r="W96" i="3" s="1"/>
  <c r="AL96" i="3" s="1"/>
  <c r="J96" i="8"/>
  <c r="Q96" i="8" s="1"/>
  <c r="BN96" i="9"/>
  <c r="AR96" i="9"/>
  <c r="AU96" i="9"/>
  <c r="BV96" i="9" s="1"/>
  <c r="BW96" i="9" s="1"/>
  <c r="O96" i="11" s="1"/>
  <c r="H99" i="3"/>
  <c r="S105" i="6"/>
  <c r="Y106" i="6"/>
  <c r="AB106" i="6"/>
  <c r="AA106" i="6"/>
  <c r="AC106" i="6"/>
  <c r="T106" i="6"/>
  <c r="U106" i="6"/>
  <c r="B99" i="9"/>
  <c r="AA101" i="7"/>
  <c r="J100" i="12" s="1"/>
  <c r="AC101" i="7"/>
  <c r="AD101" i="7"/>
  <c r="M99" i="12"/>
  <c r="AG99" i="9"/>
  <c r="AH99" i="9"/>
  <c r="AM99" i="9" s="1"/>
  <c r="O99" i="12"/>
  <c r="B99" i="12" s="1"/>
  <c r="H103" i="6"/>
  <c r="G103" i="6"/>
  <c r="N103" i="6"/>
  <c r="L103" i="6"/>
  <c r="E103" i="6"/>
  <c r="K103" i="6"/>
  <c r="J103" i="6"/>
  <c r="I103" i="6"/>
  <c r="M103" i="6"/>
  <c r="F103" i="6"/>
  <c r="L98" i="3"/>
  <c r="N98" i="9" s="1"/>
  <c r="R98" i="3"/>
  <c r="AS98" i="3" s="1"/>
  <c r="T97" i="9"/>
  <c r="W97" i="8" s="1"/>
  <c r="S97" i="9"/>
  <c r="K97" i="8" s="1"/>
  <c r="V97" i="9"/>
  <c r="BA97" i="9" s="1"/>
  <c r="BC97" i="9" s="1"/>
  <c r="BQ97" i="9" s="1"/>
  <c r="U97" i="9"/>
  <c r="AZ97" i="9" s="1"/>
  <c r="BM97" i="9" s="1"/>
  <c r="O97" i="9"/>
  <c r="D97" i="11" s="1"/>
  <c r="D102" i="6"/>
  <c r="B101" i="6"/>
  <c r="C101" i="6"/>
  <c r="AZ97" i="3"/>
  <c r="BA97" i="3" s="1"/>
  <c r="Z97" i="11" s="1"/>
  <c r="BX97" i="9"/>
  <c r="M98" i="3"/>
  <c r="M98" i="9" s="1"/>
  <c r="T98" i="8"/>
  <c r="S98" i="8" s="1"/>
  <c r="P97" i="9"/>
  <c r="M104" i="8"/>
  <c r="AU104" i="3"/>
  <c r="AN94" i="3"/>
  <c r="AX94" i="3"/>
  <c r="BB94" i="3"/>
  <c r="BC94" i="3" s="1"/>
  <c r="X94" i="11" s="1"/>
  <c r="AI94" i="8"/>
  <c r="Q94" i="12" s="1"/>
  <c r="Z94" i="9"/>
  <c r="AC94" i="9" s="1"/>
  <c r="AT94" i="9" s="1"/>
  <c r="AV94" i="9" s="1"/>
  <c r="AG96" i="8"/>
  <c r="Y96" i="9" s="1"/>
  <c r="AB96" i="9" s="1"/>
  <c r="AQ96" i="9" s="1"/>
  <c r="L101" i="9"/>
  <c r="J100" i="3"/>
  <c r="I101" i="12"/>
  <c r="H102" i="12"/>
  <c r="H105" i="5"/>
  <c r="I105" i="5"/>
  <c r="AI106" i="23" s="1"/>
  <c r="L100" i="9"/>
  <c r="F102" i="9"/>
  <c r="K102" i="9" s="1"/>
  <c r="F102" i="3"/>
  <c r="I101" i="3"/>
  <c r="Z103" i="3"/>
  <c r="A106" i="8"/>
  <c r="J106" i="5"/>
  <c r="D105" i="5"/>
  <c r="E105" i="5"/>
  <c r="AE106" i="23" s="1"/>
  <c r="G105" i="5"/>
  <c r="C105" i="5"/>
  <c r="F105" i="5"/>
  <c r="AF106" i="23" s="1"/>
  <c r="AO105" i="9" s="1"/>
  <c r="B104" i="5"/>
  <c r="AD105" i="23" s="1"/>
  <c r="AR106" i="8" l="1"/>
  <c r="AQ106" i="8"/>
  <c r="AP106" i="8"/>
  <c r="AO106" i="8"/>
  <c r="AN106" i="8"/>
  <c r="AU106" i="8"/>
  <c r="AM106" i="8"/>
  <c r="AT106" i="8"/>
  <c r="AL106" i="8"/>
  <c r="AS106" i="8"/>
  <c r="AV106" i="8"/>
  <c r="AW106" i="8"/>
  <c r="AX106" i="8"/>
  <c r="AY106" i="8"/>
  <c r="AZ106" i="8"/>
  <c r="BA106" i="8"/>
  <c r="BB106" i="8"/>
  <c r="BC106" i="8"/>
  <c r="BD106" i="8"/>
  <c r="BE106" i="8"/>
  <c r="BF106" i="8"/>
  <c r="C104" i="8"/>
  <c r="D104" i="8" s="1"/>
  <c r="B104" i="8"/>
  <c r="AJ104" i="8" s="1"/>
  <c r="G104" i="8"/>
  <c r="AK105" i="8"/>
  <c r="AD104" i="3"/>
  <c r="AH106" i="23"/>
  <c r="U105" i="12" s="1"/>
  <c r="AI102" i="3"/>
  <c r="AK102" i="3" s="1"/>
  <c r="AI103" i="3"/>
  <c r="AJ103" i="3"/>
  <c r="AY93" i="3"/>
  <c r="V93" i="11" s="1"/>
  <c r="BH93" i="3"/>
  <c r="BI93" i="3" s="1"/>
  <c r="AA93" i="11" s="1"/>
  <c r="H93" i="11" s="1"/>
  <c r="AY94" i="3"/>
  <c r="V94" i="11" s="1"/>
  <c r="BH94" i="3"/>
  <c r="BI94" i="3" s="1"/>
  <c r="AA94" i="11" s="1"/>
  <c r="BT96" i="9"/>
  <c r="BU96" i="9" s="1"/>
  <c r="R96" i="11" s="1"/>
  <c r="BK96" i="9"/>
  <c r="BL96" i="9" s="1"/>
  <c r="AL98" i="9"/>
  <c r="AK99" i="9"/>
  <c r="AJ99" i="9"/>
  <c r="R104" i="6"/>
  <c r="AA105" i="17" s="1"/>
  <c r="B104" i="3" s="1"/>
  <c r="H98" i="8"/>
  <c r="I98" i="8" s="1"/>
  <c r="AG106" i="23"/>
  <c r="O98" i="9"/>
  <c r="D98" i="11" s="1"/>
  <c r="J99" i="9"/>
  <c r="H99" i="8" s="1"/>
  <c r="I99" i="8" s="1"/>
  <c r="Q99" i="9"/>
  <c r="X98" i="9"/>
  <c r="L98" i="8" s="1"/>
  <c r="W98" i="9"/>
  <c r="BB98" i="9" s="1"/>
  <c r="F105" i="12"/>
  <c r="E105" i="3"/>
  <c r="E105" i="9"/>
  <c r="R103" i="9"/>
  <c r="G105" i="12"/>
  <c r="G104" i="3"/>
  <c r="N104" i="3" s="1"/>
  <c r="E104" i="12"/>
  <c r="G104" i="9"/>
  <c r="K103" i="12"/>
  <c r="W106" i="6"/>
  <c r="V106" i="6"/>
  <c r="Z106" i="6"/>
  <c r="AG95" i="8"/>
  <c r="Y95" i="9" s="1"/>
  <c r="AB95" i="9" s="1"/>
  <c r="AQ95" i="9" s="1"/>
  <c r="AS95" i="9" s="1"/>
  <c r="AH95" i="8"/>
  <c r="AA95" i="9" s="1"/>
  <c r="AD95" i="9" s="1"/>
  <c r="AX95" i="9" s="1"/>
  <c r="P103" i="12"/>
  <c r="AC104" i="3"/>
  <c r="V95" i="8"/>
  <c r="X95" i="8" s="1"/>
  <c r="Y95" i="8" s="1"/>
  <c r="Z95" i="8" s="1"/>
  <c r="AE95" i="8" s="1"/>
  <c r="V95" i="3" s="1"/>
  <c r="Y95" i="3" s="1"/>
  <c r="AR95" i="3" s="1"/>
  <c r="BF95" i="3" s="1"/>
  <c r="BG95" i="3" s="1"/>
  <c r="W95" i="11" s="1"/>
  <c r="R96" i="8"/>
  <c r="AF96" i="8" s="1"/>
  <c r="Z96" i="9" s="1"/>
  <c r="AC96" i="9" s="1"/>
  <c r="AT96" i="9" s="1"/>
  <c r="AV96" i="9" s="1"/>
  <c r="BT95" i="9"/>
  <c r="AS96" i="9"/>
  <c r="O99" i="3"/>
  <c r="Q99" i="3"/>
  <c r="P99" i="3"/>
  <c r="AM99" i="3" s="1"/>
  <c r="Q105" i="6"/>
  <c r="AD106" i="17" s="1"/>
  <c r="R105" i="6"/>
  <c r="AA106" i="17" s="1"/>
  <c r="H100" i="3"/>
  <c r="M100" i="3" s="1"/>
  <c r="M100" i="9" s="1"/>
  <c r="Z96" i="8"/>
  <c r="AE96" i="8" s="1"/>
  <c r="V96" i="3" s="1"/>
  <c r="Y96" i="3" s="1"/>
  <c r="AR96" i="3" s="1"/>
  <c r="BF96" i="3" s="1"/>
  <c r="BG96" i="3" s="1"/>
  <c r="W96" i="11" s="1"/>
  <c r="B100" i="9"/>
  <c r="AA96" i="8"/>
  <c r="AC96" i="8" s="1"/>
  <c r="U96" i="3" s="1"/>
  <c r="X96" i="3" s="1"/>
  <c r="AO96" i="3" s="1"/>
  <c r="AR97" i="9"/>
  <c r="AA102" i="7"/>
  <c r="J101" i="12" s="1"/>
  <c r="AD102" i="7"/>
  <c r="AC102" i="7"/>
  <c r="O100" i="12"/>
  <c r="B100" i="12" s="1"/>
  <c r="AH100" i="9"/>
  <c r="AM100" i="9" s="1"/>
  <c r="M100" i="12"/>
  <c r="AG100" i="9"/>
  <c r="T98" i="9"/>
  <c r="W98" i="8" s="1"/>
  <c r="V98" i="9"/>
  <c r="BA98" i="9" s="1"/>
  <c r="S98" i="9"/>
  <c r="K98" i="8" s="1"/>
  <c r="N98" i="8" s="1"/>
  <c r="O98" i="8" s="1"/>
  <c r="P98" i="8" s="1"/>
  <c r="C102" i="6"/>
  <c r="B102" i="6"/>
  <c r="L99" i="3"/>
  <c r="N99" i="9" s="1"/>
  <c r="R99" i="3"/>
  <c r="AS99" i="3" s="1"/>
  <c r="U98" i="9"/>
  <c r="AZ98" i="9" s="1"/>
  <c r="BM98" i="9" s="1"/>
  <c r="BR97" i="9"/>
  <c r="BY97" i="9"/>
  <c r="S97" i="11" s="1"/>
  <c r="P97" i="11" s="1"/>
  <c r="BN97" i="9"/>
  <c r="P98" i="9"/>
  <c r="D103" i="6"/>
  <c r="M99" i="3"/>
  <c r="M99" i="9" s="1"/>
  <c r="M104" i="6"/>
  <c r="F104" i="6"/>
  <c r="L104" i="6"/>
  <c r="J104" i="6"/>
  <c r="K104" i="6"/>
  <c r="H104" i="6"/>
  <c r="G104" i="6"/>
  <c r="N104" i="6"/>
  <c r="E104" i="6"/>
  <c r="I104" i="6"/>
  <c r="K99" i="3"/>
  <c r="AU97" i="9"/>
  <c r="R95" i="8"/>
  <c r="AF95" i="8" s="1"/>
  <c r="Q95" i="8"/>
  <c r="N97" i="8"/>
  <c r="O97" i="8" s="1"/>
  <c r="J97" i="8"/>
  <c r="M105" i="8"/>
  <c r="AU105" i="3"/>
  <c r="AN96" i="3"/>
  <c r="AX96" i="3"/>
  <c r="BI94" i="9"/>
  <c r="BJ94" i="9" s="1"/>
  <c r="L102" i="9"/>
  <c r="J101" i="3"/>
  <c r="I102" i="12"/>
  <c r="H103" i="12"/>
  <c r="I106" i="5"/>
  <c r="AI107" i="23" s="1"/>
  <c r="F103" i="9"/>
  <c r="K103" i="9" s="1"/>
  <c r="F103" i="3"/>
  <c r="I103" i="3" s="1"/>
  <c r="I102" i="3"/>
  <c r="E106" i="5"/>
  <c r="AE107" i="23" s="1"/>
  <c r="H106" i="5"/>
  <c r="F106" i="5"/>
  <c r="AF107" i="23" s="1"/>
  <c r="AO106" i="9" s="1"/>
  <c r="Z104" i="3"/>
  <c r="D106" i="5"/>
  <c r="G106" i="5"/>
  <c r="C106" i="5"/>
  <c r="B105" i="5"/>
  <c r="AD106" i="23" s="1"/>
  <c r="AK106" i="8" l="1"/>
  <c r="B105" i="8"/>
  <c r="AJ105" i="8" s="1"/>
  <c r="G105" i="8"/>
  <c r="C105" i="8"/>
  <c r="D105" i="8" s="1"/>
  <c r="AD105" i="3"/>
  <c r="AH107" i="23"/>
  <c r="U106" i="12" s="1"/>
  <c r="AK103" i="3"/>
  <c r="H94" i="11"/>
  <c r="AI104" i="3"/>
  <c r="AJ104" i="3"/>
  <c r="AY96" i="3"/>
  <c r="V96" i="11" s="1"/>
  <c r="BT97" i="9"/>
  <c r="BU97" i="9" s="1"/>
  <c r="R97" i="11" s="1"/>
  <c r="BK97" i="9"/>
  <c r="BL97" i="9" s="1"/>
  <c r="AL99" i="9"/>
  <c r="AK100" i="9"/>
  <c r="AJ100" i="9"/>
  <c r="K104" i="12"/>
  <c r="AG107" i="23"/>
  <c r="BN98" i="9"/>
  <c r="X99" i="9"/>
  <c r="L99" i="8" s="1"/>
  <c r="O99" i="9"/>
  <c r="D99" i="11" s="1"/>
  <c r="BX98" i="9"/>
  <c r="BY98" i="9" s="1"/>
  <c r="S98" i="11" s="1"/>
  <c r="P98" i="11" s="1"/>
  <c r="AZ98" i="3"/>
  <c r="BA98" i="3" s="1"/>
  <c r="Z98" i="11" s="1"/>
  <c r="W99" i="9"/>
  <c r="BB99" i="9" s="1"/>
  <c r="J100" i="9"/>
  <c r="AJ101" i="23" s="1"/>
  <c r="AK101" i="23" s="1"/>
  <c r="Q100" i="9"/>
  <c r="BC98" i="9"/>
  <c r="BQ98" i="9" s="1"/>
  <c r="BR98" i="9" s="1"/>
  <c r="AJ100" i="23"/>
  <c r="AK100" i="23" s="1"/>
  <c r="G106" i="12"/>
  <c r="AD106" i="3"/>
  <c r="F106" i="12"/>
  <c r="E106" i="9"/>
  <c r="E106" i="3"/>
  <c r="E105" i="12"/>
  <c r="G105" i="3"/>
  <c r="N105" i="3" s="1"/>
  <c r="G105" i="9"/>
  <c r="R104" i="9"/>
  <c r="S106" i="6"/>
  <c r="R106" i="6" s="1"/>
  <c r="AA107" i="17" s="1"/>
  <c r="P104" i="12"/>
  <c r="AA95" i="8"/>
  <c r="AC95" i="8" s="1"/>
  <c r="U95" i="3" s="1"/>
  <c r="X95" i="3" s="1"/>
  <c r="AO95" i="3" s="1"/>
  <c r="B105" i="3"/>
  <c r="K105" i="12"/>
  <c r="AC105" i="3"/>
  <c r="AD95" i="8"/>
  <c r="T95" i="3" s="1"/>
  <c r="W95" i="3" s="1"/>
  <c r="AL95" i="3" s="1"/>
  <c r="AX95" i="3" s="1"/>
  <c r="BI96" i="9"/>
  <c r="BJ96" i="9" s="1"/>
  <c r="BU95" i="9"/>
  <c r="R95" i="11" s="1"/>
  <c r="AI96" i="8"/>
  <c r="Q96" i="12" s="1"/>
  <c r="T99" i="8"/>
  <c r="S99" i="8" s="1"/>
  <c r="AR98" i="9"/>
  <c r="Q100" i="3"/>
  <c r="P100" i="3"/>
  <c r="O100" i="3"/>
  <c r="BB96" i="3"/>
  <c r="BC96" i="3" s="1"/>
  <c r="X96" i="11" s="1"/>
  <c r="H101" i="3"/>
  <c r="K101" i="3" s="1"/>
  <c r="B101" i="9"/>
  <c r="V98" i="8"/>
  <c r="X98" i="8" s="1"/>
  <c r="Y98" i="8" s="1"/>
  <c r="AD98" i="8" s="1"/>
  <c r="T98" i="3" s="1"/>
  <c r="W98" i="3" s="1"/>
  <c r="AL98" i="3" s="1"/>
  <c r="AA103" i="7"/>
  <c r="S99" i="9"/>
  <c r="K99" i="8" s="1"/>
  <c r="N99" i="8" s="1"/>
  <c r="O99" i="8" s="1"/>
  <c r="P99" i="8" s="1"/>
  <c r="AU98" i="9"/>
  <c r="BV98" i="9" s="1"/>
  <c r="BW98" i="9" s="1"/>
  <c r="O98" i="11" s="1"/>
  <c r="M101" i="12"/>
  <c r="AG101" i="9"/>
  <c r="AC103" i="7"/>
  <c r="AD103" i="7"/>
  <c r="O101" i="12"/>
  <c r="B101" i="12" s="1"/>
  <c r="AH101" i="9"/>
  <c r="AM101" i="9" s="1"/>
  <c r="J98" i="8"/>
  <c r="L100" i="3"/>
  <c r="N100" i="9" s="1"/>
  <c r="R100" i="3"/>
  <c r="AS100" i="3" s="1"/>
  <c r="B103" i="6"/>
  <c r="C103" i="6"/>
  <c r="V99" i="9"/>
  <c r="BA99" i="9" s="1"/>
  <c r="P99" i="9"/>
  <c r="T99" i="9"/>
  <c r="D104" i="6"/>
  <c r="Z95" i="9"/>
  <c r="AC95" i="9" s="1"/>
  <c r="AT95" i="9" s="1"/>
  <c r="AI95" i="8"/>
  <c r="Q95" i="12" s="1"/>
  <c r="P97" i="8"/>
  <c r="V97" i="8"/>
  <c r="X97" i="8" s="1"/>
  <c r="Y97" i="8" s="1"/>
  <c r="U99" i="9"/>
  <c r="AZ99" i="9" s="1"/>
  <c r="BM99" i="9" s="1"/>
  <c r="K100" i="3"/>
  <c r="G105" i="6"/>
  <c r="N105" i="6"/>
  <c r="H105" i="6"/>
  <c r="J105" i="6"/>
  <c r="I105" i="6"/>
  <c r="F105" i="6"/>
  <c r="L105" i="6"/>
  <c r="M105" i="6"/>
  <c r="K105" i="6"/>
  <c r="E105" i="6"/>
  <c r="BV97" i="9"/>
  <c r="AH98" i="8"/>
  <c r="AA98" i="9" s="1"/>
  <c r="AD98" i="9" s="1"/>
  <c r="AX98" i="9" s="1"/>
  <c r="M106" i="8"/>
  <c r="AU106" i="3"/>
  <c r="J102" i="3"/>
  <c r="I103" i="12"/>
  <c r="H104" i="12"/>
  <c r="L103" i="9"/>
  <c r="F104" i="9"/>
  <c r="F104" i="3"/>
  <c r="J103" i="3"/>
  <c r="B106" i="5"/>
  <c r="AD107" i="23" s="1"/>
  <c r="Z105" i="3"/>
  <c r="G106" i="8" l="1"/>
  <c r="B106" i="8"/>
  <c r="AJ106" i="8" s="1"/>
  <c r="C106" i="8"/>
  <c r="D106" i="8" s="1"/>
  <c r="T100" i="8"/>
  <c r="S100" i="8" s="1"/>
  <c r="AM100" i="3"/>
  <c r="AK104" i="3"/>
  <c r="AI105" i="3"/>
  <c r="AJ105" i="3"/>
  <c r="AY95" i="3"/>
  <c r="V95" i="11" s="1"/>
  <c r="BH96" i="3"/>
  <c r="BI96" i="3" s="1"/>
  <c r="AA96" i="11" s="1"/>
  <c r="H96" i="11" s="1"/>
  <c r="BT98" i="9"/>
  <c r="BU98" i="9" s="1"/>
  <c r="R98" i="11" s="1"/>
  <c r="BK98" i="9"/>
  <c r="BL98" i="9" s="1"/>
  <c r="AL100" i="9"/>
  <c r="AJ101" i="9"/>
  <c r="AK101" i="9"/>
  <c r="AZ99" i="3"/>
  <c r="BA99" i="3" s="1"/>
  <c r="Z99" i="11" s="1"/>
  <c r="W100" i="9"/>
  <c r="BB100" i="9" s="1"/>
  <c r="BX99" i="9"/>
  <c r="BY99" i="9" s="1"/>
  <c r="S99" i="11" s="1"/>
  <c r="P99" i="11" s="1"/>
  <c r="BN99" i="9"/>
  <c r="O100" i="9"/>
  <c r="D100" i="11" s="1"/>
  <c r="S100" i="9"/>
  <c r="K100" i="8" s="1"/>
  <c r="N100" i="8" s="1"/>
  <c r="O100" i="8" s="1"/>
  <c r="P100" i="8" s="1"/>
  <c r="AG100" i="8" s="1"/>
  <c r="Y100" i="9" s="1"/>
  <c r="AB100" i="9" s="1"/>
  <c r="AQ100" i="9" s="1"/>
  <c r="T100" i="9"/>
  <c r="BC99" i="9"/>
  <c r="BQ99" i="9" s="1"/>
  <c r="BR99" i="9" s="1"/>
  <c r="V100" i="9"/>
  <c r="BA100" i="9" s="1"/>
  <c r="U100" i="9"/>
  <c r="AZ100" i="9" s="1"/>
  <c r="BM100" i="9" s="1"/>
  <c r="H100" i="8"/>
  <c r="I100" i="8" s="1"/>
  <c r="J101" i="9"/>
  <c r="Q101" i="9"/>
  <c r="X100" i="9"/>
  <c r="L100" i="8" s="1"/>
  <c r="G106" i="9"/>
  <c r="G106" i="3"/>
  <c r="N106" i="3" s="1"/>
  <c r="E106" i="12"/>
  <c r="R105" i="9"/>
  <c r="Q106" i="6"/>
  <c r="AD107" i="17" s="1"/>
  <c r="AC106" i="3" s="1"/>
  <c r="AG97" i="8"/>
  <c r="Y97" i="9" s="1"/>
  <c r="AB97" i="9" s="1"/>
  <c r="AQ97" i="9" s="1"/>
  <c r="AS97" i="9" s="1"/>
  <c r="AH97" i="8"/>
  <c r="AA97" i="9" s="1"/>
  <c r="AD97" i="9" s="1"/>
  <c r="AX97" i="9" s="1"/>
  <c r="BB95" i="3"/>
  <c r="BC95" i="3" s="1"/>
  <c r="X95" i="11" s="1"/>
  <c r="P105" i="12"/>
  <c r="AN95" i="3"/>
  <c r="K106" i="12"/>
  <c r="B106" i="3"/>
  <c r="W99" i="8"/>
  <c r="O101" i="3"/>
  <c r="P101" i="3"/>
  <c r="AM101" i="3" s="1"/>
  <c r="Q101" i="3"/>
  <c r="V99" i="8"/>
  <c r="B102" i="9"/>
  <c r="J102" i="12"/>
  <c r="AA104" i="7"/>
  <c r="AR99" i="9"/>
  <c r="Z98" i="8"/>
  <c r="AE98" i="8" s="1"/>
  <c r="V98" i="3" s="1"/>
  <c r="Y98" i="3" s="1"/>
  <c r="AR98" i="3" s="1"/>
  <c r="BF98" i="3" s="1"/>
  <c r="BG98" i="3" s="1"/>
  <c r="W98" i="11" s="1"/>
  <c r="AA98" i="8"/>
  <c r="AC98" i="8" s="1"/>
  <c r="U98" i="3" s="1"/>
  <c r="X98" i="3" s="1"/>
  <c r="AO98" i="3" s="1"/>
  <c r="M101" i="3"/>
  <c r="M101" i="9" s="1"/>
  <c r="AC104" i="7"/>
  <c r="AD104" i="7"/>
  <c r="O102" i="12"/>
  <c r="B102" i="12" s="1"/>
  <c r="AH102" i="9"/>
  <c r="AM102" i="9" s="1"/>
  <c r="M102" i="12"/>
  <c r="AG102" i="9"/>
  <c r="C104" i="6"/>
  <c r="B104" i="6"/>
  <c r="BW97" i="9"/>
  <c r="Q97" i="8"/>
  <c r="R97" i="8"/>
  <c r="AF97" i="8" s="1"/>
  <c r="D105" i="6"/>
  <c r="R101" i="3"/>
  <c r="AS101" i="3" s="1"/>
  <c r="L101" i="3"/>
  <c r="N101" i="9" s="1"/>
  <c r="H102" i="3"/>
  <c r="M102" i="3" s="1"/>
  <c r="M102" i="9" s="1"/>
  <c r="O102" i="3"/>
  <c r="Q102" i="3"/>
  <c r="P102" i="3"/>
  <c r="AM102" i="3" s="1"/>
  <c r="AV95" i="9"/>
  <c r="BI95" i="9"/>
  <c r="BJ95" i="9" s="1"/>
  <c r="J99" i="8"/>
  <c r="AU99" i="9"/>
  <c r="BV99" i="9" s="1"/>
  <c r="BW99" i="9" s="1"/>
  <c r="O99" i="11" s="1"/>
  <c r="E106" i="6"/>
  <c r="K106" i="6"/>
  <c r="J106" i="6"/>
  <c r="G106" i="6"/>
  <c r="N106" i="6"/>
  <c r="I106" i="6"/>
  <c r="M106" i="6"/>
  <c r="H106" i="6"/>
  <c r="F106" i="6"/>
  <c r="L106" i="6"/>
  <c r="P100" i="9"/>
  <c r="AD97" i="8"/>
  <c r="T97" i="3" s="1"/>
  <c r="W97" i="3" s="1"/>
  <c r="AL97" i="3" s="1"/>
  <c r="Z97" i="8"/>
  <c r="AE97" i="8" s="1"/>
  <c r="V97" i="3" s="1"/>
  <c r="Y97" i="3" s="1"/>
  <c r="AR97" i="3" s="1"/>
  <c r="BF97" i="3" s="1"/>
  <c r="BG97" i="3" s="1"/>
  <c r="W97" i="11" s="1"/>
  <c r="AA97" i="8"/>
  <c r="AC97" i="8" s="1"/>
  <c r="U97" i="3" s="1"/>
  <c r="X97" i="3" s="1"/>
  <c r="AO97" i="3" s="1"/>
  <c r="AG98" i="8"/>
  <c r="Y98" i="9" s="1"/>
  <c r="AB98" i="9" s="1"/>
  <c r="AQ98" i="9" s="1"/>
  <c r="AS98" i="9" s="1"/>
  <c r="R98" i="8"/>
  <c r="AF98" i="8" s="1"/>
  <c r="Z98" i="9" s="1"/>
  <c r="AC98" i="9" s="1"/>
  <c r="AT98" i="9" s="1"/>
  <c r="Q98" i="8"/>
  <c r="AN98" i="3"/>
  <c r="AX98" i="3"/>
  <c r="AH99" i="8"/>
  <c r="AA99" i="9" s="1"/>
  <c r="AD99" i="9" s="1"/>
  <c r="AX99" i="9" s="1"/>
  <c r="I104" i="12"/>
  <c r="H105" i="12"/>
  <c r="I104" i="3"/>
  <c r="F105" i="3"/>
  <c r="F105" i="9"/>
  <c r="K105" i="9" s="1"/>
  <c r="K104" i="9"/>
  <c r="Z106" i="3"/>
  <c r="W100" i="8" l="1"/>
  <c r="AK105" i="3"/>
  <c r="AI106" i="3"/>
  <c r="AJ106" i="3"/>
  <c r="BT99" i="9"/>
  <c r="BU99" i="9" s="1"/>
  <c r="R99" i="11" s="1"/>
  <c r="BK99" i="9"/>
  <c r="BL99" i="9" s="1"/>
  <c r="AY98" i="3"/>
  <c r="V98" i="11" s="1"/>
  <c r="BH95" i="3"/>
  <c r="BI95" i="3" s="1"/>
  <c r="AA95" i="11" s="1"/>
  <c r="H95" i="11" s="1"/>
  <c r="AJ102" i="9"/>
  <c r="AK102" i="9"/>
  <c r="AL101" i="9"/>
  <c r="AU100" i="9"/>
  <c r="BV100" i="9" s="1"/>
  <c r="BW100" i="9" s="1"/>
  <c r="O100" i="11" s="1"/>
  <c r="AR100" i="9"/>
  <c r="BC100" i="9"/>
  <c r="BQ100" i="9" s="1"/>
  <c r="BR100" i="9" s="1"/>
  <c r="AZ100" i="3"/>
  <c r="BA100" i="3" s="1"/>
  <c r="Z100" i="11" s="1"/>
  <c r="J100" i="8"/>
  <c r="R100" i="8" s="1"/>
  <c r="BN100" i="9"/>
  <c r="O101" i="9"/>
  <c r="D101" i="11" s="1"/>
  <c r="X101" i="9"/>
  <c r="L101" i="8" s="1"/>
  <c r="W101" i="9"/>
  <c r="BB101" i="9" s="1"/>
  <c r="H101" i="8"/>
  <c r="I101" i="8" s="1"/>
  <c r="AJ102" i="23"/>
  <c r="AK102" i="23" s="1"/>
  <c r="J102" i="9"/>
  <c r="AJ103" i="23" s="1"/>
  <c r="AK103" i="23" s="1"/>
  <c r="Q102" i="9"/>
  <c r="R106" i="9"/>
  <c r="O97" i="11"/>
  <c r="X99" i="8"/>
  <c r="Y99" i="8" s="1"/>
  <c r="Z99" i="8" s="1"/>
  <c r="AE99" i="8" s="1"/>
  <c r="V99" i="3" s="1"/>
  <c r="Y99" i="3" s="1"/>
  <c r="AR99" i="3" s="1"/>
  <c r="BF99" i="3" s="1"/>
  <c r="BG99" i="3" s="1"/>
  <c r="W99" i="11" s="1"/>
  <c r="T101" i="8"/>
  <c r="S101" i="8" s="1"/>
  <c r="P106" i="12"/>
  <c r="BX100" i="9"/>
  <c r="BY100" i="9" s="1"/>
  <c r="S100" i="11" s="1"/>
  <c r="P100" i="11" s="1"/>
  <c r="J103" i="12"/>
  <c r="S101" i="9"/>
  <c r="K101" i="8" s="1"/>
  <c r="N101" i="8" s="1"/>
  <c r="O101" i="8" s="1"/>
  <c r="P101" i="8" s="1"/>
  <c r="B103" i="9"/>
  <c r="AA105" i="7"/>
  <c r="B104" i="9" s="1"/>
  <c r="U101" i="9"/>
  <c r="AZ101" i="9" s="1"/>
  <c r="BM101" i="9" s="1"/>
  <c r="V101" i="9"/>
  <c r="BA101" i="9" s="1"/>
  <c r="T101" i="9"/>
  <c r="BB98" i="3"/>
  <c r="BC98" i="3" s="1"/>
  <c r="X98" i="11" s="1"/>
  <c r="AD105" i="7"/>
  <c r="AC105" i="7"/>
  <c r="O103" i="12"/>
  <c r="B103" i="12" s="1"/>
  <c r="AH103" i="9"/>
  <c r="AM103" i="9" s="1"/>
  <c r="M103" i="12"/>
  <c r="AG103" i="9"/>
  <c r="BB97" i="3"/>
  <c r="BC97" i="3" s="1"/>
  <c r="X97" i="11" s="1"/>
  <c r="P101" i="9"/>
  <c r="Q103" i="3"/>
  <c r="O103" i="3"/>
  <c r="H103" i="3"/>
  <c r="K103" i="3" s="1"/>
  <c r="P103" i="3"/>
  <c r="AM103" i="3" s="1"/>
  <c r="AN97" i="3"/>
  <c r="AX97" i="3"/>
  <c r="D106" i="6"/>
  <c r="C105" i="6"/>
  <c r="B105" i="6"/>
  <c r="T102" i="8"/>
  <c r="S102" i="8" s="1"/>
  <c r="Z97" i="9"/>
  <c r="AC97" i="9" s="1"/>
  <c r="AT97" i="9" s="1"/>
  <c r="AI97" i="8"/>
  <c r="Q97" i="12" s="1"/>
  <c r="R102" i="3"/>
  <c r="AS102" i="3" s="1"/>
  <c r="L102" i="3"/>
  <c r="N102" i="9" s="1"/>
  <c r="K102" i="3"/>
  <c r="AI98" i="8"/>
  <c r="Q98" i="12" s="1"/>
  <c r="BI98" i="9"/>
  <c r="BJ98" i="9" s="1"/>
  <c r="V100" i="8"/>
  <c r="AH100" i="8"/>
  <c r="AA100" i="9" s="1"/>
  <c r="AD100" i="9" s="1"/>
  <c r="AX100" i="9" s="1"/>
  <c r="R99" i="8"/>
  <c r="AF99" i="8" s="1"/>
  <c r="Z99" i="9" s="1"/>
  <c r="AC99" i="9" s="1"/>
  <c r="AT99" i="9" s="1"/>
  <c r="AV99" i="9" s="1"/>
  <c r="Q99" i="8"/>
  <c r="AG99" i="8"/>
  <c r="Y99" i="9" s="1"/>
  <c r="AB99" i="9" s="1"/>
  <c r="AQ99" i="9" s="1"/>
  <c r="AS99" i="9" s="1"/>
  <c r="AV98" i="9"/>
  <c r="J104" i="3"/>
  <c r="L104" i="9"/>
  <c r="I105" i="12"/>
  <c r="H106" i="12"/>
  <c r="L105" i="9"/>
  <c r="F106" i="3"/>
  <c r="F106" i="9"/>
  <c r="K106" i="9" s="1"/>
  <c r="I105" i="3"/>
  <c r="X100" i="8" l="1"/>
  <c r="Y100" i="8" s="1"/>
  <c r="Z100" i="8" s="1"/>
  <c r="AE100" i="8" s="1"/>
  <c r="V100" i="3" s="1"/>
  <c r="Y100" i="3" s="1"/>
  <c r="AR100" i="3" s="1"/>
  <c r="BF100" i="3" s="1"/>
  <c r="BG100" i="3" s="1"/>
  <c r="W100" i="11" s="1"/>
  <c r="AK106" i="3"/>
  <c r="BH98" i="3"/>
  <c r="BI98" i="3" s="1"/>
  <c r="AA98" i="11" s="1"/>
  <c r="H98" i="11" s="1"/>
  <c r="AY97" i="3"/>
  <c r="V97" i="11" s="1"/>
  <c r="BH97" i="3"/>
  <c r="BI97" i="3" s="1"/>
  <c r="AA97" i="11" s="1"/>
  <c r="BT100" i="9"/>
  <c r="BU100" i="9" s="1"/>
  <c r="R100" i="11" s="1"/>
  <c r="BK100" i="9"/>
  <c r="BL100" i="9" s="1"/>
  <c r="AL102" i="9"/>
  <c r="AK103" i="9"/>
  <c r="AJ103" i="9"/>
  <c r="AS100" i="9"/>
  <c r="Q100" i="8"/>
  <c r="BC101" i="9"/>
  <c r="BQ101" i="9" s="1"/>
  <c r="BR101" i="9" s="1"/>
  <c r="AZ101" i="3"/>
  <c r="BA101" i="3" s="1"/>
  <c r="Z101" i="11" s="1"/>
  <c r="BN101" i="9"/>
  <c r="T102" i="9"/>
  <c r="BX101" i="9"/>
  <c r="BY101" i="9" s="1"/>
  <c r="S101" i="11" s="1"/>
  <c r="P101" i="11" s="1"/>
  <c r="U102" i="9"/>
  <c r="AZ102" i="9" s="1"/>
  <c r="BM102" i="9" s="1"/>
  <c r="W102" i="9"/>
  <c r="BB102" i="9" s="1"/>
  <c r="S102" i="9"/>
  <c r="K102" i="8" s="1"/>
  <c r="N102" i="8" s="1"/>
  <c r="O102" i="8" s="1"/>
  <c r="P102" i="8" s="1"/>
  <c r="H102" i="8"/>
  <c r="I102" i="8" s="1"/>
  <c r="V102" i="9"/>
  <c r="BA102" i="9" s="1"/>
  <c r="O102" i="9"/>
  <c r="D102" i="11" s="1"/>
  <c r="X102" i="9"/>
  <c r="L102" i="8" s="1"/>
  <c r="J104" i="9"/>
  <c r="Q104" i="9"/>
  <c r="J103" i="9"/>
  <c r="Q103" i="9"/>
  <c r="W101" i="8"/>
  <c r="AD99" i="8"/>
  <c r="T99" i="3" s="1"/>
  <c r="W99" i="3" s="1"/>
  <c r="AL99" i="3" s="1"/>
  <c r="AN99" i="3" s="1"/>
  <c r="AA99" i="8"/>
  <c r="AC99" i="8" s="1"/>
  <c r="U99" i="3" s="1"/>
  <c r="X99" i="3" s="1"/>
  <c r="AO99" i="3" s="1"/>
  <c r="BB99" i="3" s="1"/>
  <c r="BC99" i="3" s="1"/>
  <c r="X99" i="11" s="1"/>
  <c r="AR101" i="9"/>
  <c r="V101" i="8"/>
  <c r="J104" i="12"/>
  <c r="O104" i="3"/>
  <c r="J101" i="8"/>
  <c r="AA106" i="7"/>
  <c r="B105" i="9" s="1"/>
  <c r="AU101" i="9"/>
  <c r="BV101" i="9" s="1"/>
  <c r="BW101" i="9" s="1"/>
  <c r="O101" i="11" s="1"/>
  <c r="M104" i="12"/>
  <c r="AG104" i="9"/>
  <c r="AC106" i="7"/>
  <c r="AD106" i="7"/>
  <c r="AH104" i="9"/>
  <c r="AM104" i="9" s="1"/>
  <c r="O104" i="12"/>
  <c r="B104" i="12" s="1"/>
  <c r="AV97" i="9"/>
  <c r="BI97" i="9"/>
  <c r="BJ97" i="9" s="1"/>
  <c r="P102" i="9"/>
  <c r="T103" i="8"/>
  <c r="S103" i="8" s="1"/>
  <c r="H104" i="3"/>
  <c r="K104" i="3" s="1"/>
  <c r="B106" i="6"/>
  <c r="C106" i="6"/>
  <c r="L103" i="3"/>
  <c r="N103" i="9" s="1"/>
  <c r="R103" i="3"/>
  <c r="AS103" i="3" s="1"/>
  <c r="M103" i="3"/>
  <c r="M103" i="9" s="1"/>
  <c r="AG101" i="8"/>
  <c r="Y101" i="9" s="1"/>
  <c r="AB101" i="9" s="1"/>
  <c r="AQ101" i="9" s="1"/>
  <c r="AI99" i="8"/>
  <c r="Q99" i="12" s="1"/>
  <c r="BI99" i="9"/>
  <c r="BJ99" i="9" s="1"/>
  <c r="AF100" i="8"/>
  <c r="J105" i="3"/>
  <c r="L106" i="9"/>
  <c r="I106" i="12"/>
  <c r="I106" i="3"/>
  <c r="AD100" i="8" l="1"/>
  <c r="T100" i="3" s="1"/>
  <c r="W100" i="3" s="1"/>
  <c r="AL100" i="3" s="1"/>
  <c r="AN100" i="3" s="1"/>
  <c r="H97" i="11"/>
  <c r="AA100" i="8"/>
  <c r="AC100" i="8" s="1"/>
  <c r="U100" i="3" s="1"/>
  <c r="X100" i="3" s="1"/>
  <c r="AO100" i="3" s="1"/>
  <c r="BB100" i="3" s="1"/>
  <c r="BC100" i="3" s="1"/>
  <c r="X100" i="11" s="1"/>
  <c r="BT101" i="9"/>
  <c r="BU101" i="9" s="1"/>
  <c r="R101" i="11" s="1"/>
  <c r="BK101" i="9"/>
  <c r="BL101" i="9" s="1"/>
  <c r="AU102" i="9"/>
  <c r="BV102" i="9" s="1"/>
  <c r="BW102" i="9" s="1"/>
  <c r="O102" i="11" s="1"/>
  <c r="AL103" i="9"/>
  <c r="AJ104" i="9"/>
  <c r="AK104" i="9"/>
  <c r="BX102" i="9"/>
  <c r="BY102" i="9" s="1"/>
  <c r="S102" i="11" s="1"/>
  <c r="P102" i="11" s="1"/>
  <c r="W102" i="8"/>
  <c r="V102" i="8"/>
  <c r="W104" i="9"/>
  <c r="BB104" i="9" s="1"/>
  <c r="BC102" i="9"/>
  <c r="BQ102" i="9" s="1"/>
  <c r="BR102" i="9" s="1"/>
  <c r="AR102" i="9"/>
  <c r="X103" i="9"/>
  <c r="L103" i="8" s="1"/>
  <c r="W103" i="9"/>
  <c r="BB103" i="9" s="1"/>
  <c r="J102" i="8"/>
  <c r="R102" i="8" s="1"/>
  <c r="AF102" i="8" s="1"/>
  <c r="BN102" i="9"/>
  <c r="AJ104" i="23"/>
  <c r="AK104" i="23" s="1"/>
  <c r="H103" i="8"/>
  <c r="I103" i="8" s="1"/>
  <c r="AZ102" i="3"/>
  <c r="BA102" i="3" s="1"/>
  <c r="Z102" i="11" s="1"/>
  <c r="X104" i="9"/>
  <c r="L104" i="8" s="1"/>
  <c r="AJ105" i="23"/>
  <c r="AK105" i="23" s="1"/>
  <c r="H104" i="8"/>
  <c r="I104" i="8" s="1"/>
  <c r="J105" i="9"/>
  <c r="AJ106" i="23" s="1"/>
  <c r="AK106" i="23" s="1"/>
  <c r="Q105" i="9"/>
  <c r="X101" i="8"/>
  <c r="Y101" i="8" s="1"/>
  <c r="Z101" i="8" s="1"/>
  <c r="AE101" i="8" s="1"/>
  <c r="V101" i="3" s="1"/>
  <c r="Y101" i="3" s="1"/>
  <c r="AR101" i="3" s="1"/>
  <c r="BF101" i="3" s="1"/>
  <c r="BG101" i="3" s="1"/>
  <c r="W101" i="11" s="1"/>
  <c r="AX99" i="3"/>
  <c r="AS101" i="9"/>
  <c r="Q104" i="3"/>
  <c r="P104" i="3"/>
  <c r="Q105" i="3"/>
  <c r="AA107" i="7"/>
  <c r="J106" i="12" s="1"/>
  <c r="J105" i="12"/>
  <c r="AD107" i="7"/>
  <c r="AC107" i="7"/>
  <c r="O105" i="12"/>
  <c r="B105" i="12" s="1"/>
  <c r="AH105" i="9"/>
  <c r="AM105" i="9" s="1"/>
  <c r="M105" i="12"/>
  <c r="AG105" i="9"/>
  <c r="M104" i="3"/>
  <c r="M104" i="9" s="1"/>
  <c r="O104" i="9" s="1"/>
  <c r="D104" i="11" s="1"/>
  <c r="P103" i="9"/>
  <c r="P105" i="3"/>
  <c r="AM105" i="3" s="1"/>
  <c r="H105" i="3"/>
  <c r="K105" i="3" s="1"/>
  <c r="R104" i="3"/>
  <c r="AS104" i="3" s="1"/>
  <c r="L104" i="3"/>
  <c r="N104" i="9" s="1"/>
  <c r="V103" i="9"/>
  <c r="BA103" i="9" s="1"/>
  <c r="U103" i="9"/>
  <c r="AZ103" i="9" s="1"/>
  <c r="BM103" i="9" s="1"/>
  <c r="O103" i="9"/>
  <c r="D103" i="11" s="1"/>
  <c r="S103" i="9"/>
  <c r="K103" i="8" s="1"/>
  <c r="T103" i="9"/>
  <c r="W103" i="8" s="1"/>
  <c r="AH101" i="8"/>
  <c r="AA101" i="9" s="1"/>
  <c r="AD101" i="9" s="1"/>
  <c r="AX101" i="9" s="1"/>
  <c r="Q101" i="8"/>
  <c r="R101" i="8"/>
  <c r="AF101" i="8" s="1"/>
  <c r="Z101" i="9" s="1"/>
  <c r="AC101" i="9" s="1"/>
  <c r="AT101" i="9" s="1"/>
  <c r="Z100" i="9"/>
  <c r="AC100" i="9" s="1"/>
  <c r="AT100" i="9" s="1"/>
  <c r="AI100" i="8"/>
  <c r="Q100" i="12" s="1"/>
  <c r="J106" i="3"/>
  <c r="AX100" i="3" l="1"/>
  <c r="AY100" i="3" s="1"/>
  <c r="V100" i="11" s="1"/>
  <c r="T104" i="8"/>
  <c r="S104" i="8" s="1"/>
  <c r="AM104" i="3"/>
  <c r="AZ104" i="3" s="1"/>
  <c r="BA104" i="3" s="1"/>
  <c r="Z104" i="11" s="1"/>
  <c r="BT102" i="9"/>
  <c r="BU102" i="9" s="1"/>
  <c r="R102" i="11" s="1"/>
  <c r="BK102" i="9"/>
  <c r="BL102" i="9" s="1"/>
  <c r="AY99" i="3"/>
  <c r="V99" i="11" s="1"/>
  <c r="BH99" i="3"/>
  <c r="BI99" i="3" s="1"/>
  <c r="AA99" i="11" s="1"/>
  <c r="H99" i="11" s="1"/>
  <c r="AL104" i="9"/>
  <c r="AJ105" i="9"/>
  <c r="AK105" i="9"/>
  <c r="X102" i="8"/>
  <c r="Y102" i="8" s="1"/>
  <c r="AA102" i="8" s="1"/>
  <c r="AC102" i="8" s="1"/>
  <c r="U102" i="3" s="1"/>
  <c r="X102" i="3" s="1"/>
  <c r="AO102" i="3" s="1"/>
  <c r="BX103" i="9"/>
  <c r="BY103" i="9" s="1"/>
  <c r="S103" i="11" s="1"/>
  <c r="P103" i="11" s="1"/>
  <c r="AZ103" i="3"/>
  <c r="BA103" i="3" s="1"/>
  <c r="Z103" i="11" s="1"/>
  <c r="BC103" i="9"/>
  <c r="BQ103" i="9" s="1"/>
  <c r="BR103" i="9" s="1"/>
  <c r="X105" i="9"/>
  <c r="L105" i="8" s="1"/>
  <c r="H105" i="8"/>
  <c r="I105" i="8" s="1"/>
  <c r="W105" i="9"/>
  <c r="BB105" i="9" s="1"/>
  <c r="AD101" i="8"/>
  <c r="T101" i="3" s="1"/>
  <c r="W101" i="3" s="1"/>
  <c r="AL101" i="3" s="1"/>
  <c r="AN101" i="3" s="1"/>
  <c r="AA101" i="8"/>
  <c r="AC101" i="8" s="1"/>
  <c r="U101" i="3" s="1"/>
  <c r="X101" i="3" s="1"/>
  <c r="AO101" i="3" s="1"/>
  <c r="BB101" i="3" s="1"/>
  <c r="BC101" i="3" s="1"/>
  <c r="X101" i="11" s="1"/>
  <c r="O105" i="3"/>
  <c r="V104" i="9"/>
  <c r="BA104" i="9" s="1"/>
  <c r="BC104" i="9" s="1"/>
  <c r="BQ104" i="9" s="1"/>
  <c r="BR104" i="9" s="1"/>
  <c r="B106" i="9"/>
  <c r="U104" i="9"/>
  <c r="AZ104" i="9" s="1"/>
  <c r="BM104" i="9" s="1"/>
  <c r="BN104" i="9" s="1"/>
  <c r="T104" i="9"/>
  <c r="S104" i="9"/>
  <c r="K104" i="8" s="1"/>
  <c r="N104" i="8" s="1"/>
  <c r="O104" i="8" s="1"/>
  <c r="P104" i="8" s="1"/>
  <c r="AG106" i="9"/>
  <c r="M106" i="12"/>
  <c r="AH106" i="9"/>
  <c r="AM106" i="9" s="1"/>
  <c r="O106" i="12"/>
  <c r="B106" i="12" s="1"/>
  <c r="M105" i="3"/>
  <c r="M105" i="9" s="1"/>
  <c r="O105" i="9" s="1"/>
  <c r="D105" i="11" s="1"/>
  <c r="N103" i="8"/>
  <c r="O103" i="8" s="1"/>
  <c r="J103" i="8"/>
  <c r="O106" i="3"/>
  <c r="Q106" i="3"/>
  <c r="H106" i="3"/>
  <c r="K106" i="3" s="1"/>
  <c r="P106" i="3"/>
  <c r="AM106" i="3" s="1"/>
  <c r="BN103" i="9"/>
  <c r="AR103" i="9"/>
  <c r="P104" i="9"/>
  <c r="L105" i="3"/>
  <c r="N105" i="9" s="1"/>
  <c r="R105" i="3"/>
  <c r="AS105" i="3" s="1"/>
  <c r="AU103" i="9"/>
  <c r="BV103" i="9" s="1"/>
  <c r="BW103" i="9" s="1"/>
  <c r="O103" i="11" s="1"/>
  <c r="T105" i="8"/>
  <c r="S105" i="8" s="1"/>
  <c r="BI101" i="9"/>
  <c r="BJ101" i="9" s="1"/>
  <c r="AV101" i="9"/>
  <c r="AI101" i="8"/>
  <c r="Q101" i="12" s="1"/>
  <c r="Q102" i="8"/>
  <c r="AG102" i="8"/>
  <c r="Y102" i="9" s="1"/>
  <c r="AB102" i="9" s="1"/>
  <c r="AQ102" i="9" s="1"/>
  <c r="AS102" i="9" s="1"/>
  <c r="AH102" i="8"/>
  <c r="AA102" i="9" s="1"/>
  <c r="AD102" i="9" s="1"/>
  <c r="AX102" i="9" s="1"/>
  <c r="Z102" i="9"/>
  <c r="AC102" i="9" s="1"/>
  <c r="AT102" i="9" s="1"/>
  <c r="AV102" i="9" s="1"/>
  <c r="BI100" i="9"/>
  <c r="BJ100" i="9" s="1"/>
  <c r="AV100" i="9"/>
  <c r="BH100" i="3" l="1"/>
  <c r="BI100" i="3" s="1"/>
  <c r="AA100" i="11" s="1"/>
  <c r="W104" i="8"/>
  <c r="H100" i="11"/>
  <c r="BK103" i="9"/>
  <c r="BL103" i="9" s="1"/>
  <c r="AJ106" i="9"/>
  <c r="AK106" i="9"/>
  <c r="AL105" i="9"/>
  <c r="AD102" i="8"/>
  <c r="T102" i="3" s="1"/>
  <c r="W102" i="3" s="1"/>
  <c r="AL102" i="3" s="1"/>
  <c r="AX102" i="3" s="1"/>
  <c r="Z102" i="8"/>
  <c r="AE102" i="8" s="1"/>
  <c r="V102" i="3" s="1"/>
  <c r="Y102" i="3" s="1"/>
  <c r="AR102" i="3" s="1"/>
  <c r="BF102" i="3" s="1"/>
  <c r="BG102" i="3" s="1"/>
  <c r="W102" i="11" s="1"/>
  <c r="J106" i="9"/>
  <c r="AJ107" i="23" s="1"/>
  <c r="AK107" i="23" s="1"/>
  <c r="AK2" i="23" s="1"/>
  <c r="J2" i="1" s="1"/>
  <c r="Q106" i="9"/>
  <c r="AX101" i="3"/>
  <c r="BX104" i="9"/>
  <c r="BY104" i="9" s="1"/>
  <c r="S104" i="11" s="1"/>
  <c r="P104" i="11" s="1"/>
  <c r="AR104" i="9"/>
  <c r="AU104" i="9"/>
  <c r="BV104" i="9" s="1"/>
  <c r="S105" i="9"/>
  <c r="K105" i="8" s="1"/>
  <c r="N105" i="8" s="1"/>
  <c r="O105" i="8" s="1"/>
  <c r="P105" i="8" s="1"/>
  <c r="T105" i="9"/>
  <c r="W105" i="8" s="1"/>
  <c r="V105" i="9"/>
  <c r="BA105" i="9" s="1"/>
  <c r="BC105" i="9" s="1"/>
  <c r="BQ105" i="9" s="1"/>
  <c r="BR105" i="9" s="1"/>
  <c r="U105" i="9"/>
  <c r="AZ105" i="9" s="1"/>
  <c r="BM105" i="9" s="1"/>
  <c r="BN105" i="9" s="1"/>
  <c r="P105" i="9"/>
  <c r="BX105" i="9"/>
  <c r="BY105" i="9" s="1"/>
  <c r="S105" i="11" s="1"/>
  <c r="P105" i="11" s="1"/>
  <c r="AZ105" i="3"/>
  <c r="BA105" i="3" s="1"/>
  <c r="Z105" i="11" s="1"/>
  <c r="L106" i="3"/>
  <c r="N106" i="9" s="1"/>
  <c r="R106" i="3"/>
  <c r="AS106" i="3" s="1"/>
  <c r="M106" i="3"/>
  <c r="M106" i="9" s="1"/>
  <c r="T106" i="8"/>
  <c r="S106" i="8" s="1"/>
  <c r="BT103" i="9"/>
  <c r="P103" i="8"/>
  <c r="V103" i="8"/>
  <c r="X103" i="8" s="1"/>
  <c r="Y103" i="8" s="1"/>
  <c r="AG104" i="8"/>
  <c r="Y104" i="9" s="1"/>
  <c r="AB104" i="9" s="1"/>
  <c r="AQ104" i="9" s="1"/>
  <c r="BB102" i="3"/>
  <c r="BC102" i="3" s="1"/>
  <c r="X102" i="11" s="1"/>
  <c r="AI102" i="8"/>
  <c r="Q102" i="12" s="1"/>
  <c r="J104" i="8"/>
  <c r="BI102" i="9"/>
  <c r="BJ102" i="9" s="1"/>
  <c r="AY101" i="3" l="1"/>
  <c r="V101" i="11" s="1"/>
  <c r="BH101" i="3"/>
  <c r="BI101" i="3" s="1"/>
  <c r="AA101" i="11" s="1"/>
  <c r="H101" i="11" s="1"/>
  <c r="AY102" i="3"/>
  <c r="V102" i="11" s="1"/>
  <c r="BH102" i="3"/>
  <c r="BI102" i="3" s="1"/>
  <c r="AA102" i="11" s="1"/>
  <c r="H102" i="11" s="1"/>
  <c r="BT104" i="9"/>
  <c r="BU104" i="9" s="1"/>
  <c r="R104" i="11" s="1"/>
  <c r="BK104" i="9"/>
  <c r="BL104" i="9" s="1"/>
  <c r="AL106" i="9"/>
  <c r="AN102" i="3"/>
  <c r="X106" i="9"/>
  <c r="L106" i="8" s="1"/>
  <c r="O106" i="9"/>
  <c r="D106" i="11" s="1"/>
  <c r="H106" i="8"/>
  <c r="I106" i="8" s="1"/>
  <c r="I3" i="8" s="1"/>
  <c r="J1" i="1" s="1"/>
  <c r="W106" i="9"/>
  <c r="BB106" i="9" s="1"/>
  <c r="AG103" i="8"/>
  <c r="Y103" i="9" s="1"/>
  <c r="AB103" i="9" s="1"/>
  <c r="AQ103" i="9" s="1"/>
  <c r="AS103" i="9" s="1"/>
  <c r="AH103" i="8"/>
  <c r="AA103" i="9" s="1"/>
  <c r="AD103" i="9" s="1"/>
  <c r="AX103" i="9" s="1"/>
  <c r="AS104" i="9"/>
  <c r="V105" i="8"/>
  <c r="X105" i="8" s="1"/>
  <c r="Y105" i="8" s="1"/>
  <c r="AA105" i="8" s="1"/>
  <c r="AC105" i="8" s="1"/>
  <c r="AU105" i="9"/>
  <c r="BV105" i="9" s="1"/>
  <c r="BW105" i="9" s="1"/>
  <c r="O105" i="11" s="1"/>
  <c r="J105" i="8"/>
  <c r="R105" i="8" s="1"/>
  <c r="AF105" i="8" s="1"/>
  <c r="AR105" i="9"/>
  <c r="T106" i="9"/>
  <c r="W106" i="8" s="1"/>
  <c r="U106" i="9"/>
  <c r="AZ106" i="9" s="1"/>
  <c r="BM106" i="9" s="1"/>
  <c r="V106" i="9"/>
  <c r="BA106" i="9" s="1"/>
  <c r="S106" i="9"/>
  <c r="K106" i="8" s="1"/>
  <c r="N106" i="8" s="1"/>
  <c r="O106" i="8" s="1"/>
  <c r="P106" i="8" s="1"/>
  <c r="Q103" i="8"/>
  <c r="R103" i="8"/>
  <c r="AF103" i="8" s="1"/>
  <c r="P106" i="9"/>
  <c r="BU103" i="9"/>
  <c r="R103" i="11" s="1"/>
  <c r="Z103" i="8"/>
  <c r="AE103" i="8" s="1"/>
  <c r="V103" i="3" s="1"/>
  <c r="Y103" i="3" s="1"/>
  <c r="AR103" i="3" s="1"/>
  <c r="BF103" i="3" s="1"/>
  <c r="BG103" i="3" s="1"/>
  <c r="W103" i="11" s="1"/>
  <c r="AD103" i="8"/>
  <c r="T103" i="3" s="1"/>
  <c r="W103" i="3" s="1"/>
  <c r="AL103" i="3" s="1"/>
  <c r="AA103" i="8"/>
  <c r="AC103" i="8" s="1"/>
  <c r="U103" i="3" s="1"/>
  <c r="X103" i="3" s="1"/>
  <c r="AO103" i="3" s="1"/>
  <c r="V104" i="8"/>
  <c r="X104" i="8" s="1"/>
  <c r="Y104" i="8" s="1"/>
  <c r="BW104" i="9"/>
  <c r="O104" i="11" s="1"/>
  <c r="R104" i="8"/>
  <c r="AF104" i="8" s="1"/>
  <c r="Z104" i="9" s="1"/>
  <c r="AC104" i="9" s="1"/>
  <c r="AT104" i="9" s="1"/>
  <c r="AV104" i="9" s="1"/>
  <c r="AH104" i="8"/>
  <c r="AA104" i="9" s="1"/>
  <c r="AD104" i="9" s="1"/>
  <c r="AX104" i="9" s="1"/>
  <c r="Q104" i="8"/>
  <c r="BT105" i="9" l="1"/>
  <c r="BU105" i="9" s="1"/>
  <c r="R105" i="11" s="1"/>
  <c r="BK105" i="9"/>
  <c r="BL105" i="9" s="1"/>
  <c r="BX106" i="9"/>
  <c r="BY106" i="9" s="1"/>
  <c r="S106" i="11" s="1"/>
  <c r="P106" i="11" s="1"/>
  <c r="AZ106" i="3"/>
  <c r="BA106" i="3" s="1"/>
  <c r="Z106" i="11" s="1"/>
  <c r="BN106" i="9"/>
  <c r="BC106" i="9"/>
  <c r="BQ106" i="9" s="1"/>
  <c r="BR106" i="9" s="1"/>
  <c r="AD105" i="8"/>
  <c r="T105" i="3" s="1"/>
  <c r="W105" i="3" s="1"/>
  <c r="AL105" i="3" s="1"/>
  <c r="AU106" i="9"/>
  <c r="BV106" i="9" s="1"/>
  <c r="BW106" i="9" s="1"/>
  <c r="O106" i="11" s="1"/>
  <c r="Z105" i="8"/>
  <c r="AE105" i="8" s="1"/>
  <c r="V105" i="3" s="1"/>
  <c r="Y105" i="3" s="1"/>
  <c r="AR105" i="3" s="1"/>
  <c r="BF105" i="3" s="1"/>
  <c r="BG105" i="3" s="1"/>
  <c r="W105" i="11" s="1"/>
  <c r="V106" i="8"/>
  <c r="X106" i="8" s="1"/>
  <c r="Y106" i="8" s="1"/>
  <c r="Z106" i="8" s="1"/>
  <c r="AE106" i="8" s="1"/>
  <c r="J106" i="8"/>
  <c r="AR106" i="9"/>
  <c r="Z103" i="9"/>
  <c r="AC103" i="9" s="1"/>
  <c r="AT103" i="9" s="1"/>
  <c r="AI103" i="8"/>
  <c r="Q103" i="12" s="1"/>
  <c r="BB103" i="3"/>
  <c r="BC103" i="3" s="1"/>
  <c r="X103" i="11" s="1"/>
  <c r="AN103" i="3"/>
  <c r="AX103" i="3"/>
  <c r="Z104" i="8"/>
  <c r="AE104" i="8" s="1"/>
  <c r="V104" i="3" s="1"/>
  <c r="Y104" i="3" s="1"/>
  <c r="AR104" i="3" s="1"/>
  <c r="BF104" i="3" s="1"/>
  <c r="BG104" i="3" s="1"/>
  <c r="W104" i="11" s="1"/>
  <c r="AD104" i="8"/>
  <c r="T104" i="3" s="1"/>
  <c r="W104" i="3" s="1"/>
  <c r="AL104" i="3" s="1"/>
  <c r="AN104" i="3" s="1"/>
  <c r="AA104" i="8"/>
  <c r="AC104" i="8" s="1"/>
  <c r="U104" i="3" s="1"/>
  <c r="X104" i="3" s="1"/>
  <c r="AO104" i="3" s="1"/>
  <c r="Q105" i="8"/>
  <c r="AI104" i="8"/>
  <c r="Q104" i="12" s="1"/>
  <c r="AH105" i="8"/>
  <c r="AA105" i="9" s="1"/>
  <c r="AD105" i="9" s="1"/>
  <c r="AX105" i="9" s="1"/>
  <c r="AG105" i="8"/>
  <c r="Y105" i="9" s="1"/>
  <c r="AB105" i="9" s="1"/>
  <c r="AQ105" i="9" s="1"/>
  <c r="AS105" i="9" s="1"/>
  <c r="U105" i="3"/>
  <c r="X105" i="3" s="1"/>
  <c r="AO105" i="3" s="1"/>
  <c r="AG106" i="8"/>
  <c r="Y106" i="9" s="1"/>
  <c r="AB106" i="9" s="1"/>
  <c r="AQ106" i="9" s="1"/>
  <c r="Z105" i="9"/>
  <c r="AC105" i="9" s="1"/>
  <c r="AT105" i="9" s="1"/>
  <c r="AV105" i="9" s="1"/>
  <c r="BI104" i="9"/>
  <c r="BJ104" i="9" s="1"/>
  <c r="BT106" i="9" l="1"/>
  <c r="BU106" i="9" s="1"/>
  <c r="R106" i="11" s="1"/>
  <c r="BK106" i="9"/>
  <c r="BL106" i="9" s="1"/>
  <c r="AY103" i="3"/>
  <c r="V103" i="11" s="1"/>
  <c r="BH103" i="3"/>
  <c r="BI103" i="3" s="1"/>
  <c r="AA103" i="11" s="1"/>
  <c r="AA106" i="8"/>
  <c r="AC106" i="8" s="1"/>
  <c r="U106" i="3" s="1"/>
  <c r="X106" i="3" s="1"/>
  <c r="AO106" i="3" s="1"/>
  <c r="AD106" i="8"/>
  <c r="T106" i="3" s="1"/>
  <c r="W106" i="3" s="1"/>
  <c r="AL106" i="3" s="1"/>
  <c r="AS106" i="9"/>
  <c r="AV103" i="9"/>
  <c r="BI103" i="9"/>
  <c r="BJ103" i="9" s="1"/>
  <c r="AX104" i="3"/>
  <c r="BB104" i="3"/>
  <c r="BC104" i="3" s="1"/>
  <c r="X104" i="11" s="1"/>
  <c r="AN105" i="3"/>
  <c r="AX105" i="3"/>
  <c r="BB105" i="3"/>
  <c r="BC105" i="3" s="1"/>
  <c r="X105" i="11" s="1"/>
  <c r="AI105" i="8"/>
  <c r="Q105" i="12" s="1"/>
  <c r="AH106" i="8"/>
  <c r="AA106" i="9" s="1"/>
  <c r="AD106" i="9" s="1"/>
  <c r="AX106" i="9" s="1"/>
  <c r="R106" i="8"/>
  <c r="AF106" i="8" s="1"/>
  <c r="Z106" i="9" s="1"/>
  <c r="AC106" i="9" s="1"/>
  <c r="AT106" i="9" s="1"/>
  <c r="AV106" i="9" s="1"/>
  <c r="Q106" i="8"/>
  <c r="V106" i="3"/>
  <c r="Y106" i="3" s="1"/>
  <c r="AR106" i="3" s="1"/>
  <c r="BF106" i="3" s="1"/>
  <c r="BG106" i="3" s="1"/>
  <c r="W106" i="11" s="1"/>
  <c r="BI105" i="9"/>
  <c r="BJ105" i="9" s="1"/>
  <c r="H103" i="11" l="1"/>
  <c r="AY104" i="3"/>
  <c r="V104" i="11" s="1"/>
  <c r="BH104" i="3"/>
  <c r="BI104" i="3" s="1"/>
  <c r="AA104" i="11" s="1"/>
  <c r="H104" i="11" s="1"/>
  <c r="AY105" i="3"/>
  <c r="V105" i="11" s="1"/>
  <c r="BH105" i="3"/>
  <c r="BI105" i="3" s="1"/>
  <c r="AA105" i="11" s="1"/>
  <c r="H105" i="11" s="1"/>
  <c r="AN106" i="3"/>
  <c r="AX106" i="3"/>
  <c r="BB106" i="3"/>
  <c r="BC106" i="3" s="1"/>
  <c r="X106" i="11" s="1"/>
  <c r="AI106" i="8"/>
  <c r="Q106" i="12" s="1"/>
  <c r="BI106" i="9"/>
  <c r="BJ106" i="9" s="1"/>
  <c r="AY106" i="3" l="1"/>
  <c r="V106" i="11" s="1"/>
  <c r="BH106" i="3"/>
  <c r="BI106" i="3" s="1"/>
  <c r="AA106" i="11" s="1"/>
  <c r="H106" i="11" s="1"/>
  <c r="AC57" i="17"/>
  <c r="N56" i="12" s="1"/>
  <c r="AC90" i="17" l="1"/>
  <c r="N89" i="12" s="1"/>
  <c r="AC49" i="17"/>
  <c r="N48" i="12" s="1"/>
  <c r="AC44" i="17"/>
  <c r="AC83" i="17"/>
  <c r="AB82" i="3" s="1"/>
  <c r="AC38" i="17"/>
  <c r="AC99" i="17"/>
  <c r="N98" i="12" s="1"/>
  <c r="AC55" i="17"/>
  <c r="N54" i="12" s="1"/>
  <c r="AC21" i="17"/>
  <c r="N20" i="12" s="1"/>
  <c r="AC103" i="17"/>
  <c r="N102" i="12" s="1"/>
  <c r="AC95" i="17"/>
  <c r="N94" i="12" s="1"/>
  <c r="AC53" i="17"/>
  <c r="AB52" i="3" s="1"/>
  <c r="AC80" i="17"/>
  <c r="AC84" i="17"/>
  <c r="N83" i="12" s="1"/>
  <c r="AC105" i="17"/>
  <c r="AC96" i="17"/>
  <c r="AB95" i="3" s="1"/>
  <c r="AC75" i="17"/>
  <c r="AC52" i="17"/>
  <c r="AB51" i="3" s="1"/>
  <c r="AC7" i="17"/>
  <c r="AB6" i="3" s="1"/>
  <c r="AC73" i="17"/>
  <c r="AC50" i="17"/>
  <c r="N49" i="12" s="1"/>
  <c r="AC100" i="17"/>
  <c r="AB99" i="3" s="1"/>
  <c r="AC47" i="17"/>
  <c r="AC41" i="17"/>
  <c r="N40" i="12" s="1"/>
  <c r="AC48" i="17"/>
  <c r="N47" i="12" s="1"/>
  <c r="AC35" i="17"/>
  <c r="N34" i="12" s="1"/>
  <c r="AC106" i="17"/>
  <c r="AC93" i="17"/>
  <c r="N92" i="12" s="1"/>
  <c r="AC30" i="17"/>
  <c r="AB29" i="3" s="1"/>
  <c r="AC14" i="17"/>
  <c r="AC10" i="17"/>
  <c r="AC6" i="17"/>
  <c r="AC31" i="17"/>
  <c r="AC27" i="17"/>
  <c r="AC32" i="17"/>
  <c r="AC24" i="17"/>
  <c r="AC39" i="17"/>
  <c r="AC22" i="17"/>
  <c r="AC11" i="17"/>
  <c r="AC12" i="17"/>
  <c r="AC17" i="17"/>
  <c r="AC8" i="17"/>
  <c r="AC19" i="17"/>
  <c r="AC20" i="17"/>
  <c r="AC63" i="17"/>
  <c r="AC82" i="17"/>
  <c r="AC51" i="17"/>
  <c r="AC74" i="17"/>
  <c r="AC46" i="17"/>
  <c r="AC43" i="17"/>
  <c r="AC45" i="17"/>
  <c r="AC9" i="17"/>
  <c r="AC25" i="17"/>
  <c r="AC71" i="17"/>
  <c r="AC26" i="17"/>
  <c r="AC66" i="17"/>
  <c r="AC69" i="17"/>
  <c r="AC54" i="17"/>
  <c r="AC68" i="17"/>
  <c r="AC94" i="17"/>
  <c r="AC33" i="17"/>
  <c r="AC29" i="17"/>
  <c r="AC40" i="17"/>
  <c r="AC77" i="17"/>
  <c r="AC34" i="17"/>
  <c r="AC65" i="17"/>
  <c r="AC61" i="17"/>
  <c r="AC88" i="17"/>
  <c r="AC79" i="17"/>
  <c r="AC102" i="17"/>
  <c r="AC62" i="17"/>
  <c r="AC85" i="17"/>
  <c r="AC92" i="17"/>
  <c r="AC28" i="17"/>
  <c r="AC37" i="17"/>
  <c r="AC58" i="17"/>
  <c r="AC13" i="17"/>
  <c r="AC16" i="17"/>
  <c r="AC107" i="17"/>
  <c r="AC56" i="17"/>
  <c r="AC98" i="17"/>
  <c r="AC81" i="17"/>
  <c r="AC104" i="17"/>
  <c r="AC59" i="17"/>
  <c r="AC101" i="17"/>
  <c r="AC97" i="17"/>
  <c r="AB56" i="3"/>
  <c r="AC76" i="17"/>
  <c r="AC67" i="17"/>
  <c r="AC60" i="17"/>
  <c r="AC89" i="17"/>
  <c r="AC70" i="17"/>
  <c r="AC42" i="17"/>
  <c r="AC78" i="17"/>
  <c r="AC86" i="17"/>
  <c r="AC72" i="17"/>
  <c r="AC64" i="17"/>
  <c r="AC18" i="17"/>
  <c r="AC36" i="17"/>
  <c r="AC91" i="17"/>
  <c r="AC87" i="17"/>
  <c r="AC15" i="17"/>
  <c r="AC23" i="17"/>
  <c r="AG95" i="3" l="1"/>
  <c r="AF95" i="3"/>
  <c r="AG56" i="3"/>
  <c r="AF56" i="3"/>
  <c r="AG29" i="3"/>
  <c r="AF29" i="3"/>
  <c r="AG82" i="3"/>
  <c r="AF82" i="3"/>
  <c r="AG52" i="3"/>
  <c r="AF52" i="3"/>
  <c r="AG99" i="3"/>
  <c r="AF99" i="3"/>
  <c r="AG6" i="3"/>
  <c r="AF6" i="3"/>
  <c r="AG51" i="3"/>
  <c r="AF51" i="3"/>
  <c r="N51" i="12"/>
  <c r="AB34" i="3"/>
  <c r="AB89" i="3"/>
  <c r="AB48" i="3"/>
  <c r="AB83" i="3"/>
  <c r="AB102" i="3"/>
  <c r="N6" i="12"/>
  <c r="N29" i="12"/>
  <c r="AB20" i="3"/>
  <c r="N82" i="12"/>
  <c r="AB47" i="3"/>
  <c r="AB92" i="3"/>
  <c r="N52" i="12"/>
  <c r="AB49" i="3"/>
  <c r="AB98" i="3"/>
  <c r="AB94" i="3"/>
  <c r="N99" i="12"/>
  <c r="N74" i="12"/>
  <c r="AB74" i="3"/>
  <c r="N104" i="12"/>
  <c r="AB104" i="3"/>
  <c r="N37" i="12"/>
  <c r="AB37" i="3"/>
  <c r="AB40" i="3"/>
  <c r="N79" i="12"/>
  <c r="AB79" i="3"/>
  <c r="N46" i="12"/>
  <c r="AB46" i="3"/>
  <c r="N72" i="12"/>
  <c r="AB72" i="3"/>
  <c r="N95" i="12"/>
  <c r="AB54" i="3"/>
  <c r="N105" i="12"/>
  <c r="AB105" i="3"/>
  <c r="N43" i="12"/>
  <c r="AB43" i="3"/>
  <c r="N55" i="12"/>
  <c r="AB55" i="3"/>
  <c r="N65" i="12"/>
  <c r="AB65" i="3"/>
  <c r="N71" i="12"/>
  <c r="AB71" i="3"/>
  <c r="N39" i="12"/>
  <c r="AB39" i="3"/>
  <c r="N70" i="12"/>
  <c r="AB70" i="3"/>
  <c r="AB13" i="3"/>
  <c r="N13" i="12"/>
  <c r="N32" i="12"/>
  <c r="AB32" i="3"/>
  <c r="N38" i="12"/>
  <c r="AB38" i="3"/>
  <c r="AB90" i="3"/>
  <c r="N90" i="12"/>
  <c r="N103" i="12"/>
  <c r="AB103" i="3"/>
  <c r="N67" i="12"/>
  <c r="AB67" i="3"/>
  <c r="N31" i="12"/>
  <c r="AB31" i="3"/>
  <c r="N17" i="12"/>
  <c r="AB17" i="3"/>
  <c r="N69" i="12"/>
  <c r="AB69" i="3"/>
  <c r="N100" i="12"/>
  <c r="AB100" i="3"/>
  <c r="N97" i="12"/>
  <c r="AB97" i="3"/>
  <c r="AB91" i="3"/>
  <c r="N91" i="12"/>
  <c r="N33" i="12"/>
  <c r="AB33" i="3"/>
  <c r="N68" i="12"/>
  <c r="AB68" i="3"/>
  <c r="AB45" i="3"/>
  <c r="N45" i="12"/>
  <c r="N16" i="12"/>
  <c r="AB16" i="3"/>
  <c r="AB30" i="3"/>
  <c r="N30" i="12"/>
  <c r="AB76" i="3"/>
  <c r="N76" i="12"/>
  <c r="N11" i="12"/>
  <c r="AB11" i="3"/>
  <c r="N106" i="12"/>
  <c r="AB106" i="3"/>
  <c r="N25" i="12"/>
  <c r="AB25" i="3"/>
  <c r="AB9" i="3"/>
  <c r="N9" i="12"/>
  <c r="N22" i="12"/>
  <c r="AB22" i="3"/>
  <c r="N66" i="12"/>
  <c r="AB66" i="3"/>
  <c r="N28" i="12"/>
  <c r="AB28" i="3"/>
  <c r="N21" i="12"/>
  <c r="AB21" i="3"/>
  <c r="N77" i="12"/>
  <c r="AB77" i="3"/>
  <c r="N12" i="12"/>
  <c r="AB12" i="3"/>
  <c r="N24" i="12"/>
  <c r="AB24" i="3"/>
  <c r="N86" i="12"/>
  <c r="AB86" i="3"/>
  <c r="N57" i="12"/>
  <c r="AB57" i="3"/>
  <c r="N87" i="12"/>
  <c r="AB87" i="3"/>
  <c r="AB93" i="3"/>
  <c r="N93" i="12"/>
  <c r="N8" i="12"/>
  <c r="AB8" i="3"/>
  <c r="N19" i="12"/>
  <c r="AB19" i="3"/>
  <c r="AB23" i="3"/>
  <c r="N23" i="12"/>
  <c r="N88" i="12"/>
  <c r="AB88" i="3"/>
  <c r="N73" i="12"/>
  <c r="AB73" i="3"/>
  <c r="AB58" i="3"/>
  <c r="N58" i="12"/>
  <c r="N50" i="12"/>
  <c r="AB50" i="3"/>
  <c r="N85" i="12"/>
  <c r="AB85" i="3"/>
  <c r="N15" i="12"/>
  <c r="AB15" i="3"/>
  <c r="N81" i="12"/>
  <c r="AB81" i="3"/>
  <c r="N14" i="12"/>
  <c r="AB14" i="3"/>
  <c r="N75" i="12"/>
  <c r="AB75" i="3"/>
  <c r="N78" i="12"/>
  <c r="AB78" i="3"/>
  <c r="N62" i="12"/>
  <c r="AB62" i="3"/>
  <c r="N36" i="12"/>
  <c r="AB36" i="3"/>
  <c r="N63" i="12"/>
  <c r="AB63" i="3"/>
  <c r="N84" i="12"/>
  <c r="AB84" i="3"/>
  <c r="N5" i="12"/>
  <c r="AB5" i="3"/>
  <c r="N59" i="12"/>
  <c r="AB59" i="3"/>
  <c r="N61" i="12"/>
  <c r="AB61" i="3"/>
  <c r="N10" i="12"/>
  <c r="AB10" i="3"/>
  <c r="N101" i="12"/>
  <c r="AB101" i="3"/>
  <c r="N60" i="12"/>
  <c r="AB60" i="3"/>
  <c r="N44" i="12"/>
  <c r="AB44" i="3"/>
  <c r="N18" i="12"/>
  <c r="AB18" i="3"/>
  <c r="N35" i="12"/>
  <c r="AB35" i="3"/>
  <c r="N41" i="12"/>
  <c r="AB41" i="3"/>
  <c r="AB96" i="3"/>
  <c r="N96" i="12"/>
  <c r="N80" i="12"/>
  <c r="AB80" i="3"/>
  <c r="N27" i="12"/>
  <c r="AB27" i="3"/>
  <c r="N64" i="12"/>
  <c r="AB64" i="3"/>
  <c r="AB53" i="3"/>
  <c r="N53" i="12"/>
  <c r="N42" i="12"/>
  <c r="AB42" i="3"/>
  <c r="N7" i="12"/>
  <c r="AB7" i="3"/>
  <c r="N26" i="12"/>
  <c r="AB26" i="3"/>
  <c r="AG63" i="3" l="1"/>
  <c r="AF63" i="3"/>
  <c r="AG65" i="3"/>
  <c r="AF65" i="3"/>
  <c r="AG54" i="3"/>
  <c r="AF54" i="3"/>
  <c r="AG40" i="3"/>
  <c r="AF40" i="3"/>
  <c r="AG94" i="3"/>
  <c r="AF94" i="3"/>
  <c r="AG53" i="3"/>
  <c r="AF53" i="3"/>
  <c r="AG96" i="3"/>
  <c r="AF96" i="3"/>
  <c r="AG93" i="3"/>
  <c r="AF93" i="3"/>
  <c r="AG30" i="3"/>
  <c r="AF30" i="3"/>
  <c r="AG13" i="3"/>
  <c r="AF13" i="3"/>
  <c r="AG37" i="3"/>
  <c r="AF37" i="3"/>
  <c r="AG98" i="3"/>
  <c r="AF98" i="3"/>
  <c r="AG26" i="3"/>
  <c r="AF26" i="3"/>
  <c r="AG64" i="3"/>
  <c r="AF64" i="3"/>
  <c r="AG41" i="3"/>
  <c r="AF41" i="3"/>
  <c r="AG60" i="3"/>
  <c r="AF60" i="3"/>
  <c r="AG59" i="3"/>
  <c r="AF59" i="3"/>
  <c r="AG36" i="3"/>
  <c r="AF36" i="3"/>
  <c r="AG14" i="3"/>
  <c r="AF14" i="3"/>
  <c r="AG50" i="3"/>
  <c r="AF50" i="3"/>
  <c r="AG87" i="3"/>
  <c r="AF87" i="3"/>
  <c r="AG12" i="3"/>
  <c r="AF12" i="3"/>
  <c r="AG66" i="3"/>
  <c r="AF66" i="3"/>
  <c r="AG106" i="3"/>
  <c r="AF106" i="3"/>
  <c r="AG16" i="3"/>
  <c r="AF16" i="3"/>
  <c r="AG17" i="3"/>
  <c r="AF17" i="3"/>
  <c r="AG70" i="3"/>
  <c r="AF70" i="3"/>
  <c r="AG55" i="3"/>
  <c r="AF55" i="3"/>
  <c r="AG72" i="3"/>
  <c r="AF72" i="3"/>
  <c r="AG49" i="3"/>
  <c r="AF49" i="3"/>
  <c r="AG102" i="3"/>
  <c r="AF102" i="3"/>
  <c r="AG44" i="3"/>
  <c r="AF44" i="3"/>
  <c r="AG85" i="3"/>
  <c r="AF85" i="3"/>
  <c r="AG28" i="3"/>
  <c r="AF28" i="3"/>
  <c r="AG69" i="3"/>
  <c r="AF69" i="3"/>
  <c r="AG23" i="3"/>
  <c r="AF23" i="3"/>
  <c r="AG91" i="3"/>
  <c r="AF91" i="3"/>
  <c r="AG35" i="3"/>
  <c r="AF35" i="3"/>
  <c r="AG62" i="3"/>
  <c r="AF62" i="3"/>
  <c r="AG57" i="3"/>
  <c r="AF57" i="3"/>
  <c r="AG77" i="3"/>
  <c r="AF77" i="3"/>
  <c r="AG11" i="3"/>
  <c r="AF11" i="3"/>
  <c r="AG97" i="3"/>
  <c r="AF97" i="3"/>
  <c r="AG31" i="3"/>
  <c r="AF31" i="3"/>
  <c r="AG38" i="3"/>
  <c r="AF38" i="3"/>
  <c r="AG39" i="3"/>
  <c r="AF39" i="3"/>
  <c r="AG46" i="3"/>
  <c r="AF46" i="3"/>
  <c r="AG48" i="3"/>
  <c r="AF48" i="3"/>
  <c r="AG58" i="3"/>
  <c r="AF58" i="3"/>
  <c r="AG45" i="3"/>
  <c r="AF45" i="3"/>
  <c r="AG74" i="3"/>
  <c r="AF74" i="3"/>
  <c r="AG47" i="3"/>
  <c r="AF47" i="3"/>
  <c r="AG89" i="3"/>
  <c r="AF89" i="3"/>
  <c r="AG61" i="3"/>
  <c r="AF61" i="3"/>
  <c r="AG75" i="3"/>
  <c r="AF75" i="3"/>
  <c r="AG24" i="3"/>
  <c r="AF24" i="3"/>
  <c r="AG103" i="3"/>
  <c r="AF103" i="3"/>
  <c r="AG90" i="3"/>
  <c r="AF90" i="3"/>
  <c r="AG27" i="3"/>
  <c r="AF27" i="3"/>
  <c r="AF5" i="3"/>
  <c r="AG5" i="3"/>
  <c r="AG81" i="3"/>
  <c r="AF81" i="3"/>
  <c r="AG22" i="3"/>
  <c r="AF22" i="3"/>
  <c r="AG43" i="3"/>
  <c r="AF43" i="3"/>
  <c r="AG42" i="3"/>
  <c r="AF42" i="3"/>
  <c r="AG84" i="3"/>
  <c r="AF84" i="3"/>
  <c r="AG73" i="3"/>
  <c r="AF73" i="3"/>
  <c r="AG86" i="3"/>
  <c r="AF86" i="3"/>
  <c r="AG21" i="3"/>
  <c r="AF21" i="3"/>
  <c r="AG68" i="3"/>
  <c r="AF68" i="3"/>
  <c r="AG100" i="3"/>
  <c r="AF100" i="3"/>
  <c r="AG67" i="3"/>
  <c r="AF67" i="3"/>
  <c r="AG32" i="3"/>
  <c r="AF32" i="3"/>
  <c r="AG71" i="3"/>
  <c r="AF71" i="3"/>
  <c r="AG105" i="3"/>
  <c r="AF105" i="3"/>
  <c r="AG79" i="3"/>
  <c r="AF79" i="3"/>
  <c r="AG34" i="3"/>
  <c r="AF34" i="3"/>
  <c r="AG88" i="3"/>
  <c r="AF88" i="3"/>
  <c r="AG25" i="3"/>
  <c r="AF25" i="3"/>
  <c r="AG33" i="3"/>
  <c r="AF33" i="3"/>
  <c r="AG104" i="3"/>
  <c r="AF104" i="3"/>
  <c r="AG83" i="3"/>
  <c r="AF83" i="3"/>
  <c r="AG7" i="3"/>
  <c r="AF7" i="3"/>
  <c r="AG101" i="3"/>
  <c r="AF101" i="3"/>
  <c r="AG19" i="3"/>
  <c r="AF19" i="3"/>
  <c r="AG92" i="3"/>
  <c r="AF92" i="3"/>
  <c r="AG80" i="3"/>
  <c r="AF80" i="3"/>
  <c r="AG18" i="3"/>
  <c r="AF18" i="3"/>
  <c r="AG10" i="3"/>
  <c r="AF10" i="3"/>
  <c r="AG78" i="3"/>
  <c r="AF78" i="3"/>
  <c r="AG15" i="3"/>
  <c r="AF15" i="3"/>
  <c r="AG8" i="3"/>
  <c r="AF8" i="3"/>
  <c r="AG9" i="3"/>
  <c r="AF9" i="3"/>
  <c r="AG76" i="3"/>
  <c r="AF76" i="3"/>
  <c r="AG20" i="3"/>
  <c r="AF20" i="3"/>
  <c r="AH99" i="3"/>
  <c r="AH95" i="3"/>
  <c r="AP95" i="3" s="1"/>
  <c r="AH51" i="3"/>
  <c r="AH82" i="3"/>
  <c r="AH52" i="3"/>
  <c r="AP52" i="3" s="1"/>
  <c r="AH56" i="3"/>
  <c r="AP56" i="3" s="1"/>
  <c r="AH6" i="3"/>
  <c r="AP6" i="3" s="1"/>
  <c r="AH29" i="3"/>
  <c r="AP29" i="3" s="1"/>
  <c r="AP82" i="3" l="1"/>
  <c r="BD82" i="3" s="1"/>
  <c r="BE82" i="3" s="1"/>
  <c r="Y82" i="11" s="1"/>
  <c r="I82" i="11" s="1"/>
  <c r="AP51" i="3"/>
  <c r="AQ51" i="3" s="1"/>
  <c r="AT51" i="3" s="1"/>
  <c r="AP99" i="3"/>
  <c r="BD99" i="3" s="1"/>
  <c r="BE99" i="3" s="1"/>
  <c r="Y99" i="11" s="1"/>
  <c r="I99" i="11" s="1"/>
  <c r="AH83" i="3"/>
  <c r="AH23" i="3"/>
  <c r="AH7" i="3"/>
  <c r="AH58" i="3"/>
  <c r="AH20" i="3"/>
  <c r="AH66" i="3"/>
  <c r="AH79" i="3"/>
  <c r="AH77" i="3"/>
  <c r="AH91" i="3"/>
  <c r="AH8" i="3"/>
  <c r="AH98" i="3"/>
  <c r="AH100" i="3"/>
  <c r="AH61" i="3"/>
  <c r="AH47" i="3"/>
  <c r="AH102" i="3"/>
  <c r="AH70" i="3"/>
  <c r="AH28" i="3"/>
  <c r="AH15" i="3"/>
  <c r="AH35" i="3"/>
  <c r="AH37" i="3"/>
  <c r="AH9" i="3"/>
  <c r="AH40" i="3"/>
  <c r="AH69" i="3"/>
  <c r="AH93" i="3"/>
  <c r="AH41" i="3"/>
  <c r="AH68" i="3"/>
  <c r="AH48" i="3"/>
  <c r="AH74" i="3"/>
  <c r="AP74" i="3" s="1"/>
  <c r="AH94" i="3"/>
  <c r="AH11" i="3"/>
  <c r="AH34" i="3"/>
  <c r="AH32" i="3"/>
  <c r="AH22" i="3"/>
  <c r="AH12" i="3"/>
  <c r="AH5" i="3"/>
  <c r="AP5" i="3" s="1"/>
  <c r="AH88" i="3"/>
  <c r="AH90" i="3"/>
  <c r="AH26" i="3"/>
  <c r="AP26" i="3" s="1"/>
  <c r="AH45" i="3"/>
  <c r="AH13" i="3"/>
  <c r="AP13" i="3" s="1"/>
  <c r="AH81" i="3"/>
  <c r="AH36" i="3"/>
  <c r="AP36" i="3" s="1"/>
  <c r="AH43" i="3"/>
  <c r="AH80" i="3"/>
  <c r="AH54" i="3"/>
  <c r="AH39" i="3"/>
  <c r="AH85" i="3"/>
  <c r="AP85" i="3" s="1"/>
  <c r="AH17" i="3"/>
  <c r="AH86" i="3"/>
  <c r="BD95" i="3"/>
  <c r="BE95" i="3" s="1"/>
  <c r="Y95" i="11" s="1"/>
  <c r="I95" i="11" s="1"/>
  <c r="AQ95" i="3"/>
  <c r="AT95" i="3" s="1"/>
  <c r="BZ95" i="9"/>
  <c r="CB95" i="9" s="1"/>
  <c r="BZ56" i="9"/>
  <c r="CB56" i="9" s="1"/>
  <c r="BD56" i="3"/>
  <c r="BE56" i="3" s="1"/>
  <c r="Y56" i="11" s="1"/>
  <c r="I56" i="11" s="1"/>
  <c r="AQ56" i="3"/>
  <c r="AT56" i="3" s="1"/>
  <c r="BD29" i="3"/>
  <c r="BE29" i="3" s="1"/>
  <c r="Y29" i="11" s="1"/>
  <c r="I29" i="11" s="1"/>
  <c r="AQ29" i="3"/>
  <c r="AT29" i="3" s="1"/>
  <c r="BZ29" i="9"/>
  <c r="CB29" i="9" s="1"/>
  <c r="AH57" i="3"/>
  <c r="AP57" i="3" s="1"/>
  <c r="BD52" i="3"/>
  <c r="BE52" i="3" s="1"/>
  <c r="Y52" i="11" s="1"/>
  <c r="I52" i="11" s="1"/>
  <c r="BZ52" i="9"/>
  <c r="CB52" i="9" s="1"/>
  <c r="AQ52" i="3"/>
  <c r="AT52" i="3" s="1"/>
  <c r="AH44" i="3"/>
  <c r="AP44" i="3" s="1"/>
  <c r="AH38" i="3"/>
  <c r="AP38" i="3" s="1"/>
  <c r="AH76" i="3"/>
  <c r="AP76" i="3" s="1"/>
  <c r="AH63" i="3"/>
  <c r="AP63" i="3" s="1"/>
  <c r="AH72" i="3"/>
  <c r="AP72" i="3" s="1"/>
  <c r="AH21" i="3"/>
  <c r="AP21" i="3" s="1"/>
  <c r="AH53" i="3"/>
  <c r="AP53" i="3" s="1"/>
  <c r="AH71" i="3"/>
  <c r="AP71" i="3" s="1"/>
  <c r="AH14" i="3"/>
  <c r="AP14" i="3" s="1"/>
  <c r="AH106" i="3"/>
  <c r="AP106" i="3" s="1"/>
  <c r="AH101" i="3"/>
  <c r="AP101" i="3" s="1"/>
  <c r="AH46" i="3"/>
  <c r="AP46" i="3" s="1"/>
  <c r="AH42" i="3"/>
  <c r="AP42" i="3" s="1"/>
  <c r="AH25" i="3"/>
  <c r="AP25" i="3" s="1"/>
  <c r="AH10" i="3"/>
  <c r="AP10" i="3" s="1"/>
  <c r="AH103" i="3"/>
  <c r="AP103" i="3" s="1"/>
  <c r="AH60" i="3"/>
  <c r="AP60" i="3" s="1"/>
  <c r="AH78" i="3"/>
  <c r="AP78" i="3" s="1"/>
  <c r="AH96" i="3"/>
  <c r="AP96" i="3" s="1"/>
  <c r="AH105" i="3"/>
  <c r="AP105" i="3" s="1"/>
  <c r="AH50" i="3"/>
  <c r="AP50" i="3" s="1"/>
  <c r="AH97" i="3"/>
  <c r="AP97" i="3" s="1"/>
  <c r="AH19" i="3"/>
  <c r="AP19" i="3" s="1"/>
  <c r="AH92" i="3"/>
  <c r="AP92" i="3" s="1"/>
  <c r="AH18" i="3"/>
  <c r="AP18" i="3" s="1"/>
  <c r="AH55" i="3"/>
  <c r="AP55" i="3" s="1"/>
  <c r="AH16" i="3"/>
  <c r="AP16" i="3" s="1"/>
  <c r="AH73" i="3"/>
  <c r="AP73" i="3" s="1"/>
  <c r="AH84" i="3"/>
  <c r="AP84" i="3" s="1"/>
  <c r="AH30" i="3"/>
  <c r="AP30" i="3" s="1"/>
  <c r="AH65" i="3"/>
  <c r="AP65" i="3" s="1"/>
  <c r="AH62" i="3"/>
  <c r="AP62" i="3" s="1"/>
  <c r="BZ6" i="9"/>
  <c r="CB6" i="9" s="1"/>
  <c r="BD6" i="3"/>
  <c r="BE6" i="3" s="1"/>
  <c r="Y6" i="11" s="1"/>
  <c r="I6" i="11" s="1"/>
  <c r="AQ6" i="3"/>
  <c r="AT6" i="3" s="1"/>
  <c r="AH67" i="3"/>
  <c r="AP67" i="3" s="1"/>
  <c r="AH59" i="3"/>
  <c r="AP59" i="3" s="1"/>
  <c r="AH75" i="3"/>
  <c r="AP75" i="3" s="1"/>
  <c r="AH89" i="3"/>
  <c r="AP89" i="3" s="1"/>
  <c r="AH31" i="3"/>
  <c r="AP31" i="3" s="1"/>
  <c r="AH104" i="3"/>
  <c r="AP104" i="3" s="1"/>
  <c r="AH64" i="3"/>
  <c r="AP64" i="3" s="1"/>
  <c r="AH49" i="3"/>
  <c r="AP49" i="3" s="1"/>
  <c r="AH24" i="3"/>
  <c r="AP24" i="3" s="1"/>
  <c r="AH27" i="3"/>
  <c r="AP27" i="3" s="1"/>
  <c r="AH87" i="3"/>
  <c r="AP87" i="3" s="1"/>
  <c r="AH33" i="3"/>
  <c r="AP33" i="3" s="1"/>
  <c r="L95" i="11"/>
  <c r="L40" i="11"/>
  <c r="L29" i="11"/>
  <c r="L92" i="11"/>
  <c r="L94" i="11"/>
  <c r="L48" i="11"/>
  <c r="L52" i="11"/>
  <c r="L20" i="11"/>
  <c r="L83" i="11"/>
  <c r="L56" i="11"/>
  <c r="L49" i="11"/>
  <c r="L6" i="11"/>
  <c r="L34" i="11"/>
  <c r="L102" i="11"/>
  <c r="L89" i="11"/>
  <c r="L51" i="11"/>
  <c r="L54" i="11"/>
  <c r="L47" i="11"/>
  <c r="L98" i="11"/>
  <c r="L99" i="11"/>
  <c r="L82" i="11"/>
  <c r="BZ51" i="9" l="1"/>
  <c r="CB51" i="9" s="1"/>
  <c r="CC51" i="9" s="1"/>
  <c r="N51" i="11" s="1"/>
  <c r="AQ99" i="3"/>
  <c r="AT99" i="3" s="1"/>
  <c r="AV99" i="3" s="1"/>
  <c r="AW99" i="3" s="1"/>
  <c r="U99" i="11" s="1"/>
  <c r="BD51" i="3"/>
  <c r="BE51" i="3" s="1"/>
  <c r="Y51" i="11" s="1"/>
  <c r="I51" i="11" s="1"/>
  <c r="BZ99" i="9"/>
  <c r="CB99" i="9" s="1"/>
  <c r="CC99" i="9" s="1"/>
  <c r="N99" i="11" s="1"/>
  <c r="AQ82" i="3"/>
  <c r="AT82" i="3" s="1"/>
  <c r="AW82" i="9" s="1"/>
  <c r="BO82" i="9" s="1"/>
  <c r="BP82" i="9" s="1"/>
  <c r="K82" i="11" s="1"/>
  <c r="BZ82" i="9"/>
  <c r="CA82" i="9" s="1"/>
  <c r="Q82" i="11" s="1"/>
  <c r="J82" i="11" s="1"/>
  <c r="AW51" i="9"/>
  <c r="AV51" i="3"/>
  <c r="AW51" i="3" s="1"/>
  <c r="U51" i="11" s="1"/>
  <c r="AP88" i="3"/>
  <c r="BZ88" i="9" s="1"/>
  <c r="CB88" i="9" s="1"/>
  <c r="AP94" i="3"/>
  <c r="AQ94" i="3" s="1"/>
  <c r="AT94" i="3" s="1"/>
  <c r="AW94" i="9" s="1"/>
  <c r="AP9" i="3"/>
  <c r="BD9" i="3" s="1"/>
  <c r="BE9" i="3" s="1"/>
  <c r="Y9" i="11" s="1"/>
  <c r="I9" i="11" s="1"/>
  <c r="AP61" i="3"/>
  <c r="BZ61" i="9" s="1"/>
  <c r="AP66" i="3"/>
  <c r="BZ66" i="9" s="1"/>
  <c r="AP37" i="3"/>
  <c r="AQ37" i="3" s="1"/>
  <c r="AT37" i="3" s="1"/>
  <c r="AV37" i="3" s="1"/>
  <c r="AW37" i="3" s="1"/>
  <c r="U37" i="11" s="1"/>
  <c r="AP100" i="3"/>
  <c r="BD100" i="3" s="1"/>
  <c r="BE100" i="3" s="1"/>
  <c r="Y100" i="11" s="1"/>
  <c r="I100" i="11" s="1"/>
  <c r="AP20" i="3"/>
  <c r="AQ20" i="3" s="1"/>
  <c r="AT20" i="3" s="1"/>
  <c r="AW20" i="9" s="1"/>
  <c r="AP47" i="3"/>
  <c r="AQ47" i="3" s="1"/>
  <c r="AT47" i="3" s="1"/>
  <c r="AV47" i="3" s="1"/>
  <c r="AW47" i="3" s="1"/>
  <c r="U47" i="11" s="1"/>
  <c r="AP39" i="3"/>
  <c r="AQ39" i="3" s="1"/>
  <c r="AT39" i="3" s="1"/>
  <c r="AW39" i="9" s="1"/>
  <c r="AP54" i="3"/>
  <c r="BZ54" i="9" s="1"/>
  <c r="AP22" i="3"/>
  <c r="BZ22" i="9" s="1"/>
  <c r="AP68" i="3"/>
  <c r="BD68" i="3" s="1"/>
  <c r="BE68" i="3" s="1"/>
  <c r="Y68" i="11" s="1"/>
  <c r="I68" i="11" s="1"/>
  <c r="AP15" i="3"/>
  <c r="BZ15" i="9" s="1"/>
  <c r="AP8" i="3"/>
  <c r="AQ8" i="3" s="1"/>
  <c r="AT8" i="3" s="1"/>
  <c r="AW8" i="9" s="1"/>
  <c r="AP58" i="3"/>
  <c r="BD58" i="3" s="1"/>
  <c r="BE58" i="3" s="1"/>
  <c r="Y58" i="11" s="1"/>
  <c r="I58" i="11" s="1"/>
  <c r="AP86" i="3"/>
  <c r="BZ86" i="9" s="1"/>
  <c r="AP40" i="3"/>
  <c r="AQ40" i="3" s="1"/>
  <c r="AT40" i="3" s="1"/>
  <c r="AV40" i="3" s="1"/>
  <c r="AW40" i="3" s="1"/>
  <c r="U40" i="11" s="1"/>
  <c r="AP17" i="3"/>
  <c r="AQ17" i="3" s="1"/>
  <c r="AT17" i="3" s="1"/>
  <c r="AV17" i="3" s="1"/>
  <c r="AW17" i="3" s="1"/>
  <c r="U17" i="11" s="1"/>
  <c r="AP81" i="3"/>
  <c r="BZ81" i="9" s="1"/>
  <c r="AP48" i="3"/>
  <c r="AQ48" i="3" s="1"/>
  <c r="AT48" i="3" s="1"/>
  <c r="AV48" i="3" s="1"/>
  <c r="AW48" i="3" s="1"/>
  <c r="U48" i="11" s="1"/>
  <c r="AP35" i="3"/>
  <c r="BZ35" i="9" s="1"/>
  <c r="AP98" i="3"/>
  <c r="AQ98" i="3" s="1"/>
  <c r="AT98" i="3" s="1"/>
  <c r="AW98" i="9" s="1"/>
  <c r="AY98" i="9" s="1"/>
  <c r="AP80" i="3"/>
  <c r="AQ80" i="3" s="1"/>
  <c r="AT80" i="3" s="1"/>
  <c r="AP45" i="3"/>
  <c r="BD45" i="3" s="1"/>
  <c r="BE45" i="3" s="1"/>
  <c r="Y45" i="11" s="1"/>
  <c r="I45" i="11" s="1"/>
  <c r="AP32" i="3"/>
  <c r="BD32" i="3" s="1"/>
  <c r="BE32" i="3" s="1"/>
  <c r="Y32" i="11" s="1"/>
  <c r="I32" i="11" s="1"/>
  <c r="AP41" i="3"/>
  <c r="BD41" i="3" s="1"/>
  <c r="BE41" i="3" s="1"/>
  <c r="Y41" i="11" s="1"/>
  <c r="I41" i="11" s="1"/>
  <c r="AP28" i="3"/>
  <c r="BD28" i="3" s="1"/>
  <c r="BE28" i="3" s="1"/>
  <c r="Y28" i="11" s="1"/>
  <c r="I28" i="11" s="1"/>
  <c r="AP91" i="3"/>
  <c r="AQ91" i="3" s="1"/>
  <c r="AT91" i="3" s="1"/>
  <c r="AV91" i="3" s="1"/>
  <c r="AW91" i="3" s="1"/>
  <c r="U91" i="11" s="1"/>
  <c r="AP7" i="3"/>
  <c r="BZ7" i="9" s="1"/>
  <c r="AP83" i="3"/>
  <c r="BZ83" i="9" s="1"/>
  <c r="AP43" i="3"/>
  <c r="BD43" i="3" s="1"/>
  <c r="BE43" i="3" s="1"/>
  <c r="Y43" i="11" s="1"/>
  <c r="I43" i="11" s="1"/>
  <c r="AP34" i="3"/>
  <c r="AQ34" i="3" s="1"/>
  <c r="AT34" i="3" s="1"/>
  <c r="AV34" i="3" s="1"/>
  <c r="AW34" i="3" s="1"/>
  <c r="U34" i="11" s="1"/>
  <c r="AP93" i="3"/>
  <c r="BD93" i="3" s="1"/>
  <c r="BE93" i="3" s="1"/>
  <c r="Y93" i="11" s="1"/>
  <c r="I93" i="11" s="1"/>
  <c r="AP70" i="3"/>
  <c r="BZ70" i="9" s="1"/>
  <c r="AP77" i="3"/>
  <c r="BD77" i="3" s="1"/>
  <c r="BE77" i="3" s="1"/>
  <c r="Y77" i="11" s="1"/>
  <c r="I77" i="11" s="1"/>
  <c r="AP23" i="3"/>
  <c r="BD23" i="3" s="1"/>
  <c r="BE23" i="3" s="1"/>
  <c r="Y23" i="11" s="1"/>
  <c r="I23" i="11" s="1"/>
  <c r="AP12" i="3"/>
  <c r="AQ12" i="3" s="1"/>
  <c r="AT12" i="3" s="1"/>
  <c r="AP90" i="3"/>
  <c r="AQ90" i="3" s="1"/>
  <c r="AT90" i="3" s="1"/>
  <c r="AP11" i="3"/>
  <c r="AQ11" i="3" s="1"/>
  <c r="AT11" i="3" s="1"/>
  <c r="AV11" i="3" s="1"/>
  <c r="AW11" i="3" s="1"/>
  <c r="U11" i="11" s="1"/>
  <c r="AP69" i="3"/>
  <c r="BD69" i="3" s="1"/>
  <c r="BE69" i="3" s="1"/>
  <c r="Y69" i="11" s="1"/>
  <c r="I69" i="11" s="1"/>
  <c r="AP102" i="3"/>
  <c r="BZ102" i="9" s="1"/>
  <c r="AP79" i="3"/>
  <c r="AQ79" i="3" s="1"/>
  <c r="AT79" i="3" s="1"/>
  <c r="AV79" i="3" s="1"/>
  <c r="AW79" i="3" s="1"/>
  <c r="U79" i="11" s="1"/>
  <c r="AQ5" i="3"/>
  <c r="AT5" i="3" s="1"/>
  <c r="AV5" i="3" s="1"/>
  <c r="AW5" i="3" s="1"/>
  <c r="U5" i="11" s="1"/>
  <c r="BD74" i="3"/>
  <c r="BE74" i="3" s="1"/>
  <c r="Y74" i="11" s="1"/>
  <c r="I74" i="11" s="1"/>
  <c r="AQ74" i="3"/>
  <c r="AT74" i="3" s="1"/>
  <c r="BZ74" i="9"/>
  <c r="CB74" i="9" s="1"/>
  <c r="AQ26" i="3"/>
  <c r="AT26" i="3" s="1"/>
  <c r="BD26" i="3"/>
  <c r="BE26" i="3" s="1"/>
  <c r="Y26" i="11" s="1"/>
  <c r="I26" i="11" s="1"/>
  <c r="BZ26" i="9"/>
  <c r="CB26" i="9" s="1"/>
  <c r="AQ13" i="3"/>
  <c r="AT13" i="3" s="1"/>
  <c r="BZ13" i="9"/>
  <c r="CB13" i="9" s="1"/>
  <c r="BD13" i="3"/>
  <c r="BE13" i="3" s="1"/>
  <c r="Y13" i="11" s="1"/>
  <c r="I13" i="11" s="1"/>
  <c r="CC95" i="9"/>
  <c r="N95" i="11" s="1"/>
  <c r="CA95" i="9"/>
  <c r="Q95" i="11" s="1"/>
  <c r="J95" i="11" s="1"/>
  <c r="AV95" i="3"/>
  <c r="AW95" i="3" s="1"/>
  <c r="U95" i="11" s="1"/>
  <c r="AW95" i="9"/>
  <c r="AY95" i="9" s="1"/>
  <c r="BZ85" i="9"/>
  <c r="CB85" i="9" s="1"/>
  <c r="BD85" i="3"/>
  <c r="BE85" i="3" s="1"/>
  <c r="Y85" i="11" s="1"/>
  <c r="I85" i="11" s="1"/>
  <c r="AQ85" i="3"/>
  <c r="AT85" i="3" s="1"/>
  <c r="BZ36" i="9"/>
  <c r="CB36" i="9" s="1"/>
  <c r="BD36" i="3"/>
  <c r="BE36" i="3" s="1"/>
  <c r="Y36" i="11" s="1"/>
  <c r="I36" i="11" s="1"/>
  <c r="AQ36" i="3"/>
  <c r="AT36" i="3" s="1"/>
  <c r="AQ104" i="3"/>
  <c r="AT104" i="3" s="1"/>
  <c r="BZ104" i="9"/>
  <c r="CB104" i="9" s="1"/>
  <c r="BD104" i="3"/>
  <c r="BE104" i="3" s="1"/>
  <c r="Y104" i="11" s="1"/>
  <c r="I104" i="11" s="1"/>
  <c r="CA6" i="9"/>
  <c r="Q6" i="11" s="1"/>
  <c r="J6" i="11" s="1"/>
  <c r="CC6" i="9"/>
  <c r="N6" i="11" s="1"/>
  <c r="BD18" i="3"/>
  <c r="BE18" i="3" s="1"/>
  <c r="Y18" i="11" s="1"/>
  <c r="I18" i="11" s="1"/>
  <c r="BZ18" i="9"/>
  <c r="CB18" i="9" s="1"/>
  <c r="AQ18" i="3"/>
  <c r="AT18" i="3" s="1"/>
  <c r="AQ78" i="3"/>
  <c r="AT78" i="3" s="1"/>
  <c r="BD78" i="3"/>
  <c r="BE78" i="3" s="1"/>
  <c r="Y78" i="11" s="1"/>
  <c r="I78" i="11" s="1"/>
  <c r="BZ78" i="9"/>
  <c r="CB78" i="9" s="1"/>
  <c r="BZ106" i="9"/>
  <c r="CB106" i="9" s="1"/>
  <c r="BD106" i="3"/>
  <c r="BE106" i="3" s="1"/>
  <c r="Y106" i="11" s="1"/>
  <c r="I106" i="11" s="1"/>
  <c r="AQ106" i="3"/>
  <c r="AT106" i="3" s="1"/>
  <c r="AW52" i="9"/>
  <c r="AY52" i="9" s="1"/>
  <c r="AV52" i="3"/>
  <c r="AW52" i="3" s="1"/>
  <c r="U52" i="11" s="1"/>
  <c r="CA56" i="9"/>
  <c r="Q56" i="11" s="1"/>
  <c r="J56" i="11" s="1"/>
  <c r="CC56" i="9"/>
  <c r="N56" i="11" s="1"/>
  <c r="AQ31" i="3"/>
  <c r="AT31" i="3" s="1"/>
  <c r="BD31" i="3"/>
  <c r="BE31" i="3" s="1"/>
  <c r="Y31" i="11" s="1"/>
  <c r="I31" i="11" s="1"/>
  <c r="BZ31" i="9"/>
  <c r="CB31" i="9" s="1"/>
  <c r="BD62" i="3"/>
  <c r="BE62" i="3" s="1"/>
  <c r="Y62" i="11" s="1"/>
  <c r="I62" i="11" s="1"/>
  <c r="BZ62" i="9"/>
  <c r="CB62" i="9" s="1"/>
  <c r="AQ62" i="3"/>
  <c r="AT62" i="3" s="1"/>
  <c r="BZ92" i="9"/>
  <c r="CB92" i="9" s="1"/>
  <c r="AQ92" i="3"/>
  <c r="AT92" i="3" s="1"/>
  <c r="BD92" i="3"/>
  <c r="BE92" i="3" s="1"/>
  <c r="Y92" i="11" s="1"/>
  <c r="I92" i="11" s="1"/>
  <c r="BD60" i="3"/>
  <c r="BE60" i="3" s="1"/>
  <c r="Y60" i="11" s="1"/>
  <c r="I60" i="11" s="1"/>
  <c r="AQ60" i="3"/>
  <c r="AT60" i="3" s="1"/>
  <c r="BZ60" i="9"/>
  <c r="CB60" i="9" s="1"/>
  <c r="BZ14" i="9"/>
  <c r="CB14" i="9" s="1"/>
  <c r="BD14" i="3"/>
  <c r="BE14" i="3" s="1"/>
  <c r="Y14" i="11" s="1"/>
  <c r="I14" i="11" s="1"/>
  <c r="AQ14" i="3"/>
  <c r="AT14" i="3" s="1"/>
  <c r="BZ38" i="9"/>
  <c r="CB38" i="9" s="1"/>
  <c r="BD38" i="3"/>
  <c r="BE38" i="3" s="1"/>
  <c r="Y38" i="11" s="1"/>
  <c r="I38" i="11" s="1"/>
  <c r="AQ38" i="3"/>
  <c r="AT38" i="3" s="1"/>
  <c r="CA52" i="9"/>
  <c r="Q52" i="11" s="1"/>
  <c r="J52" i="11" s="1"/>
  <c r="CC52" i="9"/>
  <c r="N52" i="11" s="1"/>
  <c r="BD33" i="3"/>
  <c r="BE33" i="3" s="1"/>
  <c r="Y33" i="11" s="1"/>
  <c r="I33" i="11" s="1"/>
  <c r="BZ33" i="9"/>
  <c r="CB33" i="9" s="1"/>
  <c r="AQ33" i="3"/>
  <c r="AT33" i="3" s="1"/>
  <c r="BZ89" i="9"/>
  <c r="CB89" i="9" s="1"/>
  <c r="AQ89" i="3"/>
  <c r="AT89" i="3" s="1"/>
  <c r="BD89" i="3"/>
  <c r="BE89" i="3" s="1"/>
  <c r="Y89" i="11" s="1"/>
  <c r="I89" i="11" s="1"/>
  <c r="BD65" i="3"/>
  <c r="BE65" i="3" s="1"/>
  <c r="Y65" i="11" s="1"/>
  <c r="I65" i="11" s="1"/>
  <c r="BZ65" i="9"/>
  <c r="CB65" i="9" s="1"/>
  <c r="AQ65" i="3"/>
  <c r="AT65" i="3" s="1"/>
  <c r="BD19" i="3"/>
  <c r="BE19" i="3" s="1"/>
  <c r="Y19" i="11" s="1"/>
  <c r="I19" i="11" s="1"/>
  <c r="BZ19" i="9"/>
  <c r="CB19" i="9" s="1"/>
  <c r="AQ19" i="3"/>
  <c r="AT19" i="3" s="1"/>
  <c r="BZ103" i="9"/>
  <c r="CB103" i="9" s="1"/>
  <c r="AQ103" i="3"/>
  <c r="AT103" i="3" s="1"/>
  <c r="BD103" i="3"/>
  <c r="BE103" i="3" s="1"/>
  <c r="Y103" i="11" s="1"/>
  <c r="I103" i="11" s="1"/>
  <c r="BZ71" i="9"/>
  <c r="CB71" i="9" s="1"/>
  <c r="BD71" i="3"/>
  <c r="BE71" i="3" s="1"/>
  <c r="Y71" i="11" s="1"/>
  <c r="I71" i="11" s="1"/>
  <c r="AQ71" i="3"/>
  <c r="AT71" i="3" s="1"/>
  <c r="BZ44" i="9"/>
  <c r="CB44" i="9" s="1"/>
  <c r="AQ44" i="3"/>
  <c r="AT44" i="3" s="1"/>
  <c r="BD44" i="3"/>
  <c r="BE44" i="3" s="1"/>
  <c r="Y44" i="11" s="1"/>
  <c r="I44" i="11" s="1"/>
  <c r="BD75" i="3"/>
  <c r="BE75" i="3" s="1"/>
  <c r="Y75" i="11" s="1"/>
  <c r="I75" i="11" s="1"/>
  <c r="AQ75" i="3"/>
  <c r="AT75" i="3" s="1"/>
  <c r="BZ75" i="9"/>
  <c r="CB75" i="9" s="1"/>
  <c r="BZ97" i="9"/>
  <c r="CB97" i="9" s="1"/>
  <c r="BD97" i="3"/>
  <c r="BE97" i="3" s="1"/>
  <c r="Y97" i="11" s="1"/>
  <c r="I97" i="11" s="1"/>
  <c r="AQ97" i="3"/>
  <c r="AT97" i="3" s="1"/>
  <c r="AQ27" i="3"/>
  <c r="AT27" i="3" s="1"/>
  <c r="BZ27" i="9"/>
  <c r="CB27" i="9" s="1"/>
  <c r="BD27" i="3"/>
  <c r="BE27" i="3" s="1"/>
  <c r="Y27" i="11" s="1"/>
  <c r="I27" i="11" s="1"/>
  <c r="BD84" i="3"/>
  <c r="BE84" i="3" s="1"/>
  <c r="Y84" i="11" s="1"/>
  <c r="I84" i="11" s="1"/>
  <c r="BZ84" i="9"/>
  <c r="CB84" i="9" s="1"/>
  <c r="AQ84" i="3"/>
  <c r="AT84" i="3" s="1"/>
  <c r="BD50" i="3"/>
  <c r="BE50" i="3" s="1"/>
  <c r="Y50" i="11" s="1"/>
  <c r="I50" i="11" s="1"/>
  <c r="BZ50" i="9"/>
  <c r="CB50" i="9" s="1"/>
  <c r="AQ50" i="3"/>
  <c r="AT50" i="3" s="1"/>
  <c r="BD21" i="3"/>
  <c r="BE21" i="3" s="1"/>
  <c r="Y21" i="11" s="1"/>
  <c r="I21" i="11" s="1"/>
  <c r="BZ21" i="9"/>
  <c r="CB21" i="9" s="1"/>
  <c r="AQ21" i="3"/>
  <c r="AT21" i="3" s="1"/>
  <c r="BZ24" i="9"/>
  <c r="CB24" i="9" s="1"/>
  <c r="BD24" i="3"/>
  <c r="BE24" i="3" s="1"/>
  <c r="Y24" i="11" s="1"/>
  <c r="I24" i="11" s="1"/>
  <c r="AQ24" i="3"/>
  <c r="AT24" i="3" s="1"/>
  <c r="BD67" i="3"/>
  <c r="BE67" i="3" s="1"/>
  <c r="Y67" i="11" s="1"/>
  <c r="I67" i="11" s="1"/>
  <c r="BZ67" i="9"/>
  <c r="CB67" i="9" s="1"/>
  <c r="AQ67" i="3"/>
  <c r="AT67" i="3" s="1"/>
  <c r="BD73" i="3"/>
  <c r="BE73" i="3" s="1"/>
  <c r="Y73" i="11" s="1"/>
  <c r="I73" i="11" s="1"/>
  <c r="BZ73" i="9"/>
  <c r="CB73" i="9" s="1"/>
  <c r="AQ73" i="3"/>
  <c r="AT73" i="3" s="1"/>
  <c r="BZ105" i="9"/>
  <c r="CB105" i="9" s="1"/>
  <c r="BD105" i="3"/>
  <c r="BE105" i="3" s="1"/>
  <c r="Y105" i="11" s="1"/>
  <c r="I105" i="11" s="1"/>
  <c r="AQ105" i="3"/>
  <c r="AT105" i="3" s="1"/>
  <c r="BD42" i="3"/>
  <c r="BE42" i="3" s="1"/>
  <c r="Y42" i="11" s="1"/>
  <c r="I42" i="11" s="1"/>
  <c r="BZ42" i="9"/>
  <c r="CB42" i="9" s="1"/>
  <c r="AQ42" i="3"/>
  <c r="AT42" i="3" s="1"/>
  <c r="BZ72" i="9"/>
  <c r="CB72" i="9" s="1"/>
  <c r="AQ72" i="3"/>
  <c r="AT72" i="3" s="1"/>
  <c r="BD72" i="3"/>
  <c r="BE72" i="3" s="1"/>
  <c r="Y72" i="11" s="1"/>
  <c r="I72" i="11" s="1"/>
  <c r="AQ87" i="3"/>
  <c r="AT87" i="3" s="1"/>
  <c r="BD87" i="3"/>
  <c r="BE87" i="3" s="1"/>
  <c r="Y87" i="11" s="1"/>
  <c r="I87" i="11" s="1"/>
  <c r="BZ87" i="9"/>
  <c r="CB87" i="9" s="1"/>
  <c r="AQ10" i="3"/>
  <c r="AT10" i="3" s="1"/>
  <c r="BZ10" i="9"/>
  <c r="CB10" i="9" s="1"/>
  <c r="BD10" i="3"/>
  <c r="BE10" i="3" s="1"/>
  <c r="Y10" i="11" s="1"/>
  <c r="I10" i="11" s="1"/>
  <c r="BZ57" i="9"/>
  <c r="CB57" i="9" s="1"/>
  <c r="BD57" i="3"/>
  <c r="BE57" i="3" s="1"/>
  <c r="Y57" i="11" s="1"/>
  <c r="I57" i="11" s="1"/>
  <c r="AQ57" i="3"/>
  <c r="AT57" i="3" s="1"/>
  <c r="BD59" i="3"/>
  <c r="BE59" i="3" s="1"/>
  <c r="Y59" i="11" s="1"/>
  <c r="I59" i="11" s="1"/>
  <c r="BZ59" i="9"/>
  <c r="CB59" i="9" s="1"/>
  <c r="AQ59" i="3"/>
  <c r="AT59" i="3" s="1"/>
  <c r="BZ25" i="9"/>
  <c r="CB25" i="9" s="1"/>
  <c r="BD25" i="3"/>
  <c r="BE25" i="3" s="1"/>
  <c r="Y25" i="11" s="1"/>
  <c r="I25" i="11" s="1"/>
  <c r="AQ25" i="3"/>
  <c r="AT25" i="3" s="1"/>
  <c r="BZ49" i="9"/>
  <c r="CB49" i="9" s="1"/>
  <c r="AQ49" i="3"/>
  <c r="AT49" i="3" s="1"/>
  <c r="BD49" i="3"/>
  <c r="BE49" i="3" s="1"/>
  <c r="Y49" i="11" s="1"/>
  <c r="I49" i="11" s="1"/>
  <c r="AV6" i="3"/>
  <c r="AW6" i="3" s="1"/>
  <c r="U6" i="11" s="1"/>
  <c r="AW6" i="9"/>
  <c r="AY6" i="9" s="1"/>
  <c r="BD16" i="3"/>
  <c r="BE16" i="3" s="1"/>
  <c r="Y16" i="11" s="1"/>
  <c r="I16" i="11" s="1"/>
  <c r="AQ16" i="3"/>
  <c r="AT16" i="3" s="1"/>
  <c r="BZ16" i="9"/>
  <c r="CB16" i="9" s="1"/>
  <c r="BD96" i="3"/>
  <c r="BE96" i="3" s="1"/>
  <c r="Y96" i="11" s="1"/>
  <c r="I96" i="11" s="1"/>
  <c r="AQ96" i="3"/>
  <c r="AT96" i="3" s="1"/>
  <c r="BZ96" i="9"/>
  <c r="CB96" i="9" s="1"/>
  <c r="AQ46" i="3"/>
  <c r="AT46" i="3" s="1"/>
  <c r="BD46" i="3"/>
  <c r="BE46" i="3" s="1"/>
  <c r="Y46" i="11" s="1"/>
  <c r="I46" i="11" s="1"/>
  <c r="BZ46" i="9"/>
  <c r="CB46" i="9" s="1"/>
  <c r="BD63" i="3"/>
  <c r="BE63" i="3" s="1"/>
  <c r="Y63" i="11" s="1"/>
  <c r="I63" i="11" s="1"/>
  <c r="BZ63" i="9"/>
  <c r="CB63" i="9" s="1"/>
  <c r="AQ63" i="3"/>
  <c r="AT63" i="3" s="1"/>
  <c r="CC29" i="9"/>
  <c r="N29" i="11" s="1"/>
  <c r="CA29" i="9"/>
  <c r="Q29" i="11" s="1"/>
  <c r="J29" i="11" s="1"/>
  <c r="AV56" i="3"/>
  <c r="AW56" i="3" s="1"/>
  <c r="U56" i="11" s="1"/>
  <c r="AW56" i="9"/>
  <c r="AY56" i="9" s="1"/>
  <c r="BD30" i="3"/>
  <c r="BE30" i="3" s="1"/>
  <c r="Y30" i="11" s="1"/>
  <c r="I30" i="11" s="1"/>
  <c r="BZ30" i="9"/>
  <c r="CB30" i="9" s="1"/>
  <c r="AQ30" i="3"/>
  <c r="AT30" i="3" s="1"/>
  <c r="BZ53" i="9"/>
  <c r="CB53" i="9" s="1"/>
  <c r="AQ53" i="3"/>
  <c r="AT53" i="3" s="1"/>
  <c r="BD53" i="3"/>
  <c r="BE53" i="3" s="1"/>
  <c r="Y53" i="11" s="1"/>
  <c r="I53" i="11" s="1"/>
  <c r="BD64" i="3"/>
  <c r="BE64" i="3" s="1"/>
  <c r="Y64" i="11" s="1"/>
  <c r="I64" i="11" s="1"/>
  <c r="AQ64" i="3"/>
  <c r="AT64" i="3" s="1"/>
  <c r="BZ64" i="9"/>
  <c r="CB64" i="9" s="1"/>
  <c r="AQ55" i="3"/>
  <c r="AT55" i="3" s="1"/>
  <c r="BZ55" i="9"/>
  <c r="CB55" i="9" s="1"/>
  <c r="BD55" i="3"/>
  <c r="BE55" i="3" s="1"/>
  <c r="Y55" i="11" s="1"/>
  <c r="I55" i="11" s="1"/>
  <c r="BD101" i="3"/>
  <c r="BE101" i="3" s="1"/>
  <c r="Y101" i="11" s="1"/>
  <c r="I101" i="11" s="1"/>
  <c r="BZ101" i="9"/>
  <c r="CB101" i="9" s="1"/>
  <c r="AQ101" i="3"/>
  <c r="AT101" i="3" s="1"/>
  <c r="BD76" i="3"/>
  <c r="BE76" i="3" s="1"/>
  <c r="Y76" i="11" s="1"/>
  <c r="I76" i="11" s="1"/>
  <c r="BZ76" i="9"/>
  <c r="CB76" i="9" s="1"/>
  <c r="AQ76" i="3"/>
  <c r="AT76" i="3" s="1"/>
  <c r="AV29" i="3"/>
  <c r="AW29" i="3" s="1"/>
  <c r="U29" i="11" s="1"/>
  <c r="AW29" i="9"/>
  <c r="AY29" i="9" s="1"/>
  <c r="L22" i="11"/>
  <c r="L13" i="11"/>
  <c r="L39" i="11"/>
  <c r="L8" i="11"/>
  <c r="L76" i="11"/>
  <c r="L87" i="11"/>
  <c r="L17" i="11"/>
  <c r="L50" i="11"/>
  <c r="L66" i="11"/>
  <c r="L86" i="11"/>
  <c r="L9" i="11"/>
  <c r="L35" i="11"/>
  <c r="L36" i="11"/>
  <c r="L68" i="11"/>
  <c r="L27" i="11"/>
  <c r="L33" i="11"/>
  <c r="L81" i="11"/>
  <c r="L57" i="11"/>
  <c r="L74" i="11"/>
  <c r="L105" i="11"/>
  <c r="L53" i="11"/>
  <c r="L91" i="11"/>
  <c r="L71" i="11"/>
  <c r="L80" i="11"/>
  <c r="L73" i="11"/>
  <c r="L46" i="11"/>
  <c r="L70" i="11"/>
  <c r="L77" i="11"/>
  <c r="L79" i="11"/>
  <c r="L96" i="11"/>
  <c r="L65" i="11"/>
  <c r="L88" i="11"/>
  <c r="L30" i="11"/>
  <c r="L84" i="11"/>
  <c r="L41" i="11"/>
  <c r="L75" i="11"/>
  <c r="L61" i="11"/>
  <c r="L100" i="11"/>
  <c r="L14" i="11"/>
  <c r="L12" i="11"/>
  <c r="L63" i="11"/>
  <c r="L42" i="11"/>
  <c r="L11" i="11"/>
  <c r="L72" i="11"/>
  <c r="L85" i="11"/>
  <c r="L28" i="11"/>
  <c r="L58" i="11"/>
  <c r="L78" i="11"/>
  <c r="L59" i="11"/>
  <c r="L5" i="11"/>
  <c r="L67" i="11"/>
  <c r="L55" i="11"/>
  <c r="L19" i="11"/>
  <c r="L60" i="11"/>
  <c r="L103" i="11"/>
  <c r="L26" i="11"/>
  <c r="L31" i="11"/>
  <c r="L104" i="11"/>
  <c r="L43" i="11"/>
  <c r="L93" i="11"/>
  <c r="L38" i="11"/>
  <c r="L18" i="11"/>
  <c r="L62" i="11"/>
  <c r="L44" i="11"/>
  <c r="L64" i="11"/>
  <c r="L69" i="11"/>
  <c r="L90" i="11"/>
  <c r="L16" i="11"/>
  <c r="L97" i="11"/>
  <c r="L45" i="11"/>
  <c r="L37" i="11"/>
  <c r="L25" i="11"/>
  <c r="L15" i="11"/>
  <c r="L101" i="11"/>
  <c r="L10" i="11"/>
  <c r="L7" i="11"/>
  <c r="L23" i="11"/>
  <c r="L24" i="11"/>
  <c r="L21" i="11"/>
  <c r="L106" i="11"/>
  <c r="L32" i="11"/>
  <c r="CA51" i="9" l="1"/>
  <c r="Q51" i="11" s="1"/>
  <c r="J51" i="11" s="1"/>
  <c r="BZ39" i="9"/>
  <c r="CB39" i="9" s="1"/>
  <c r="CC39" i="9" s="1"/>
  <c r="N39" i="11" s="1"/>
  <c r="BZ11" i="9"/>
  <c r="CA11" i="9" s="1"/>
  <c r="Q11" i="11" s="1"/>
  <c r="J11" i="11" s="1"/>
  <c r="AQ88" i="3"/>
  <c r="AT88" i="3" s="1"/>
  <c r="AV88" i="3" s="1"/>
  <c r="AW88" i="3" s="1"/>
  <c r="U88" i="11" s="1"/>
  <c r="BD20" i="3"/>
  <c r="BE20" i="3" s="1"/>
  <c r="Y20" i="11" s="1"/>
  <c r="I20" i="11" s="1"/>
  <c r="BZ43" i="9"/>
  <c r="CB43" i="9" s="1"/>
  <c r="CC43" i="9" s="1"/>
  <c r="N43" i="11" s="1"/>
  <c r="CA99" i="9"/>
  <c r="Q99" i="11" s="1"/>
  <c r="J99" i="11" s="1"/>
  <c r="AW99" i="9"/>
  <c r="BO99" i="9" s="1"/>
  <c r="BP99" i="9" s="1"/>
  <c r="K99" i="11" s="1"/>
  <c r="AQ43" i="3"/>
  <c r="AT43" i="3" s="1"/>
  <c r="AV43" i="3" s="1"/>
  <c r="AW43" i="3" s="1"/>
  <c r="U43" i="11" s="1"/>
  <c r="AV82" i="3"/>
  <c r="AW82" i="3" s="1"/>
  <c r="U82" i="11" s="1"/>
  <c r="BD15" i="3"/>
  <c r="BE15" i="3" s="1"/>
  <c r="Y15" i="11" s="1"/>
  <c r="I15" i="11" s="1"/>
  <c r="AQ15" i="3"/>
  <c r="AT15" i="3" s="1"/>
  <c r="AV15" i="3" s="1"/>
  <c r="AW15" i="3" s="1"/>
  <c r="U15" i="11" s="1"/>
  <c r="BD7" i="3"/>
  <c r="BE7" i="3" s="1"/>
  <c r="Y7" i="11" s="1"/>
  <c r="I7" i="11" s="1"/>
  <c r="BZ80" i="9"/>
  <c r="CB80" i="9" s="1"/>
  <c r="CC80" i="9" s="1"/>
  <c r="N80" i="11" s="1"/>
  <c r="BZ58" i="9"/>
  <c r="CB58" i="9" s="1"/>
  <c r="CC58" i="9" s="1"/>
  <c r="N58" i="11" s="1"/>
  <c r="BZ34" i="9"/>
  <c r="CA34" i="9" s="1"/>
  <c r="Q34" i="11" s="1"/>
  <c r="J34" i="11" s="1"/>
  <c r="AY82" i="9"/>
  <c r="BD82" i="9" s="1"/>
  <c r="BE82" i="9" s="1"/>
  <c r="BF82" i="9" s="1"/>
  <c r="BZ69" i="9"/>
  <c r="CB69" i="9" s="1"/>
  <c r="CC69" i="9" s="1"/>
  <c r="N69" i="11" s="1"/>
  <c r="AQ66" i="3"/>
  <c r="AT66" i="3" s="1"/>
  <c r="AV66" i="3" s="1"/>
  <c r="AW66" i="3" s="1"/>
  <c r="U66" i="11" s="1"/>
  <c r="BZ32" i="9"/>
  <c r="CB32" i="9" s="1"/>
  <c r="CC32" i="9" s="1"/>
  <c r="N32" i="11" s="1"/>
  <c r="AQ93" i="3"/>
  <c r="AT93" i="3" s="1"/>
  <c r="AV93" i="3" s="1"/>
  <c r="AW93" i="3" s="1"/>
  <c r="U93" i="11" s="1"/>
  <c r="BD66" i="3"/>
  <c r="BE66" i="3" s="1"/>
  <c r="Y66" i="11" s="1"/>
  <c r="I66" i="11" s="1"/>
  <c r="BD47" i="3"/>
  <c r="BE47" i="3" s="1"/>
  <c r="Y47" i="11" s="1"/>
  <c r="I47" i="11" s="1"/>
  <c r="CB82" i="9"/>
  <c r="CC82" i="9" s="1"/>
  <c r="N82" i="11" s="1"/>
  <c r="BD22" i="3"/>
  <c r="BE22" i="3" s="1"/>
  <c r="Y22" i="11" s="1"/>
  <c r="I22" i="11" s="1"/>
  <c r="AQ81" i="3"/>
  <c r="AT81" i="3" s="1"/>
  <c r="AV81" i="3" s="1"/>
  <c r="AW81" i="3" s="1"/>
  <c r="U81" i="11" s="1"/>
  <c r="BD34" i="3"/>
  <c r="BE34" i="3" s="1"/>
  <c r="Y34" i="11" s="1"/>
  <c r="I34" i="11" s="1"/>
  <c r="BD48" i="3"/>
  <c r="BE48" i="3" s="1"/>
  <c r="Y48" i="11" s="1"/>
  <c r="I48" i="11" s="1"/>
  <c r="AQ7" i="3"/>
  <c r="AT7" i="3" s="1"/>
  <c r="AV7" i="3" s="1"/>
  <c r="AW7" i="3" s="1"/>
  <c r="U7" i="11" s="1"/>
  <c r="AQ102" i="3"/>
  <c r="AT102" i="3" s="1"/>
  <c r="AW102" i="9" s="1"/>
  <c r="BO102" i="9" s="1"/>
  <c r="BP102" i="9" s="1"/>
  <c r="K102" i="11" s="1"/>
  <c r="BD102" i="3"/>
  <c r="BE102" i="3" s="1"/>
  <c r="Y102" i="11" s="1"/>
  <c r="I102" i="11" s="1"/>
  <c r="BZ28" i="9"/>
  <c r="CB28" i="9" s="1"/>
  <c r="CC28" i="9" s="1"/>
  <c r="N28" i="11" s="1"/>
  <c r="BZ48" i="9"/>
  <c r="CB48" i="9" s="1"/>
  <c r="CC48" i="9" s="1"/>
  <c r="N48" i="11" s="1"/>
  <c r="BD88" i="3"/>
  <c r="BE88" i="3" s="1"/>
  <c r="Y88" i="11" s="1"/>
  <c r="I88" i="11" s="1"/>
  <c r="BD12" i="3"/>
  <c r="BE12" i="3" s="1"/>
  <c r="Y12" i="11" s="1"/>
  <c r="I12" i="11" s="1"/>
  <c r="BD39" i="3"/>
  <c r="BE39" i="3" s="1"/>
  <c r="Y39" i="11" s="1"/>
  <c r="I39" i="11" s="1"/>
  <c r="BZ37" i="9"/>
  <c r="CB37" i="9" s="1"/>
  <c r="CC37" i="9" s="1"/>
  <c r="N37" i="11" s="1"/>
  <c r="AQ22" i="3"/>
  <c r="AT22" i="3" s="1"/>
  <c r="AV22" i="3" s="1"/>
  <c r="AW22" i="3" s="1"/>
  <c r="U22" i="11" s="1"/>
  <c r="BZ12" i="9"/>
  <c r="CB12" i="9" s="1"/>
  <c r="CC12" i="9" s="1"/>
  <c r="N12" i="11" s="1"/>
  <c r="BD35" i="3"/>
  <c r="BE35" i="3" s="1"/>
  <c r="Y35" i="11" s="1"/>
  <c r="I35" i="11" s="1"/>
  <c r="BZ47" i="9"/>
  <c r="CB47" i="9" s="1"/>
  <c r="CC47" i="9" s="1"/>
  <c r="N47" i="11" s="1"/>
  <c r="AQ69" i="3"/>
  <c r="AT69" i="3" s="1"/>
  <c r="AW69" i="9" s="1"/>
  <c r="BO69" i="9" s="1"/>
  <c r="BP69" i="9" s="1"/>
  <c r="K69" i="11" s="1"/>
  <c r="BZ91" i="9"/>
  <c r="CA91" i="9" s="1"/>
  <c r="Q91" i="11" s="1"/>
  <c r="J91" i="11" s="1"/>
  <c r="BD80" i="3"/>
  <c r="BE80" i="3" s="1"/>
  <c r="Y80" i="11" s="1"/>
  <c r="I80" i="11" s="1"/>
  <c r="BZ40" i="9"/>
  <c r="CA40" i="9" s="1"/>
  <c r="Q40" i="11" s="1"/>
  <c r="J40" i="11" s="1"/>
  <c r="BD40" i="3"/>
  <c r="BE40" i="3" s="1"/>
  <c r="Y40" i="11" s="1"/>
  <c r="I40" i="11" s="1"/>
  <c r="AQ86" i="3"/>
  <c r="AT86" i="3" s="1"/>
  <c r="AW86" i="9" s="1"/>
  <c r="AY86" i="9" s="1"/>
  <c r="BD86" i="9" s="1"/>
  <c r="BE86" i="9" s="1"/>
  <c r="AQ35" i="3"/>
  <c r="AT35" i="3" s="1"/>
  <c r="AV35" i="3" s="1"/>
  <c r="AW35" i="3" s="1"/>
  <c r="U35" i="11" s="1"/>
  <c r="BZ17" i="9"/>
  <c r="CA17" i="9" s="1"/>
  <c r="Q17" i="11" s="1"/>
  <c r="J17" i="11" s="1"/>
  <c r="AQ28" i="3"/>
  <c r="AT28" i="3" s="1"/>
  <c r="AW28" i="9" s="1"/>
  <c r="AY28" i="9" s="1"/>
  <c r="BD28" i="9" s="1"/>
  <c r="BE28" i="9" s="1"/>
  <c r="BZ23" i="9"/>
  <c r="CA23" i="9" s="1"/>
  <c r="Q23" i="11" s="1"/>
  <c r="J23" i="11" s="1"/>
  <c r="AQ45" i="3"/>
  <c r="AT45" i="3" s="1"/>
  <c r="AV45" i="3" s="1"/>
  <c r="AW45" i="3" s="1"/>
  <c r="U45" i="11" s="1"/>
  <c r="AQ23" i="3"/>
  <c r="AT23" i="3" s="1"/>
  <c r="AV23" i="3" s="1"/>
  <c r="AW23" i="3" s="1"/>
  <c r="U23" i="11" s="1"/>
  <c r="AV12" i="3"/>
  <c r="AW12" i="3" s="1"/>
  <c r="U12" i="11" s="1"/>
  <c r="AW12" i="9"/>
  <c r="BO12" i="9" s="1"/>
  <c r="BP12" i="9" s="1"/>
  <c r="K12" i="11" s="1"/>
  <c r="BD94" i="3"/>
  <c r="BE94" i="3" s="1"/>
  <c r="Y94" i="11" s="1"/>
  <c r="I94" i="11" s="1"/>
  <c r="BZ68" i="9"/>
  <c r="CB68" i="9" s="1"/>
  <c r="CC68" i="9" s="1"/>
  <c r="N68" i="11" s="1"/>
  <c r="BZ77" i="9"/>
  <c r="CA77" i="9" s="1"/>
  <c r="Q77" i="11" s="1"/>
  <c r="J77" i="11" s="1"/>
  <c r="AQ68" i="3"/>
  <c r="AT68" i="3" s="1"/>
  <c r="AW68" i="9" s="1"/>
  <c r="BO68" i="9" s="1"/>
  <c r="BP68" i="9" s="1"/>
  <c r="K68" i="11" s="1"/>
  <c r="BD61" i="3"/>
  <c r="BE61" i="3" s="1"/>
  <c r="Y61" i="11" s="1"/>
  <c r="I61" i="11" s="1"/>
  <c r="BZ94" i="9"/>
  <c r="CB94" i="9" s="1"/>
  <c r="CC94" i="9" s="1"/>
  <c r="N94" i="11" s="1"/>
  <c r="BD86" i="3"/>
  <c r="BE86" i="3" s="1"/>
  <c r="Y86" i="11" s="1"/>
  <c r="I86" i="11" s="1"/>
  <c r="AQ32" i="3"/>
  <c r="AT32" i="3" s="1"/>
  <c r="AW32" i="9" s="1"/>
  <c r="AY32" i="9" s="1"/>
  <c r="AQ77" i="3"/>
  <c r="AT77" i="3" s="1"/>
  <c r="AV77" i="3" s="1"/>
  <c r="AW77" i="3" s="1"/>
  <c r="U77" i="11" s="1"/>
  <c r="BD37" i="3"/>
  <c r="BE37" i="3" s="1"/>
  <c r="Y37" i="11" s="1"/>
  <c r="I37" i="11" s="1"/>
  <c r="BD11" i="3"/>
  <c r="BE11" i="3" s="1"/>
  <c r="Y11" i="11" s="1"/>
  <c r="I11" i="11" s="1"/>
  <c r="BZ20" i="9"/>
  <c r="CA20" i="9" s="1"/>
  <c r="Q20" i="11" s="1"/>
  <c r="J20" i="11" s="1"/>
  <c r="BZ93" i="9"/>
  <c r="CB93" i="9" s="1"/>
  <c r="CC93" i="9" s="1"/>
  <c r="N93" i="11" s="1"/>
  <c r="AQ61" i="3"/>
  <c r="AT61" i="3" s="1"/>
  <c r="AV61" i="3" s="1"/>
  <c r="AW61" i="3" s="1"/>
  <c r="U61" i="11" s="1"/>
  <c r="BD91" i="3"/>
  <c r="BE91" i="3" s="1"/>
  <c r="Y91" i="11" s="1"/>
  <c r="I91" i="11" s="1"/>
  <c r="BD81" i="3"/>
  <c r="BE81" i="3" s="1"/>
  <c r="Y81" i="11" s="1"/>
  <c r="I81" i="11" s="1"/>
  <c r="BZ45" i="9"/>
  <c r="CA45" i="9" s="1"/>
  <c r="Q45" i="11" s="1"/>
  <c r="J45" i="11" s="1"/>
  <c r="AQ58" i="3"/>
  <c r="AT58" i="3" s="1"/>
  <c r="AV58" i="3" s="1"/>
  <c r="AW58" i="3" s="1"/>
  <c r="U58" i="11" s="1"/>
  <c r="AW34" i="9"/>
  <c r="BO34" i="9" s="1"/>
  <c r="BP34" i="9" s="1"/>
  <c r="K34" i="11" s="1"/>
  <c r="AV39" i="3"/>
  <c r="AW39" i="3" s="1"/>
  <c r="U39" i="11" s="1"/>
  <c r="CB70" i="9"/>
  <c r="CC70" i="9" s="1"/>
  <c r="N70" i="11" s="1"/>
  <c r="CB86" i="9"/>
  <c r="CC86" i="9" s="1"/>
  <c r="N86" i="11" s="1"/>
  <c r="CA61" i="9"/>
  <c r="Q61" i="11" s="1"/>
  <c r="J61" i="11" s="1"/>
  <c r="CB61" i="9"/>
  <c r="CC61" i="9" s="1"/>
  <c r="N61" i="11" s="1"/>
  <c r="CA7" i="9"/>
  <c r="Q7" i="11" s="1"/>
  <c r="J7" i="11" s="1"/>
  <c r="CB7" i="9"/>
  <c r="CC7" i="9" s="1"/>
  <c r="N7" i="11" s="1"/>
  <c r="CA22" i="9"/>
  <c r="Q22" i="11" s="1"/>
  <c r="J22" i="11" s="1"/>
  <c r="CB22" i="9"/>
  <c r="CC22" i="9" s="1"/>
  <c r="N22" i="11" s="1"/>
  <c r="CA86" i="9"/>
  <c r="Q86" i="11" s="1"/>
  <c r="J86" i="11" s="1"/>
  <c r="CB81" i="9"/>
  <c r="CC81" i="9" s="1"/>
  <c r="N81" i="11" s="1"/>
  <c r="CB54" i="9"/>
  <c r="CC54" i="9" s="1"/>
  <c r="N54" i="11" s="1"/>
  <c r="CA102" i="9"/>
  <c r="Q102" i="11" s="1"/>
  <c r="J102" i="11" s="1"/>
  <c r="CB102" i="9"/>
  <c r="CC102" i="9" s="1"/>
  <c r="N102" i="11" s="1"/>
  <c r="CB83" i="9"/>
  <c r="CC83" i="9" s="1"/>
  <c r="N83" i="11" s="1"/>
  <c r="CA35" i="9"/>
  <c r="Q35" i="11" s="1"/>
  <c r="J35" i="11" s="1"/>
  <c r="CB35" i="9"/>
  <c r="CC35" i="9" s="1"/>
  <c r="N35" i="11" s="1"/>
  <c r="CA15" i="9"/>
  <c r="Q15" i="11" s="1"/>
  <c r="J15" i="11" s="1"/>
  <c r="CB15" i="9"/>
  <c r="CC15" i="9" s="1"/>
  <c r="N15" i="11" s="1"/>
  <c r="CA66" i="9"/>
  <c r="Q66" i="11" s="1"/>
  <c r="J66" i="11" s="1"/>
  <c r="CB66" i="9"/>
  <c r="CC66" i="9" s="1"/>
  <c r="N66" i="11" s="1"/>
  <c r="AY94" i="9"/>
  <c r="BD94" i="9" s="1"/>
  <c r="BE94" i="9" s="1"/>
  <c r="BO20" i="9"/>
  <c r="BP20" i="9" s="1"/>
  <c r="K20" i="11" s="1"/>
  <c r="AY20" i="9"/>
  <c r="BD20" i="9" s="1"/>
  <c r="BE20" i="9" s="1"/>
  <c r="BG20" i="9" s="1"/>
  <c r="E20" i="11" s="1"/>
  <c r="BO8" i="9"/>
  <c r="BP8" i="9" s="1"/>
  <c r="K8" i="11" s="1"/>
  <c r="AY8" i="9"/>
  <c r="BD8" i="9" s="1"/>
  <c r="BE8" i="9" s="1"/>
  <c r="BH8" i="9" s="1"/>
  <c r="F8" i="11" s="1"/>
  <c r="AY39" i="9"/>
  <c r="BD39" i="9" s="1"/>
  <c r="BE39" i="9" s="1"/>
  <c r="BO51" i="9"/>
  <c r="BP51" i="9" s="1"/>
  <c r="K51" i="11" s="1"/>
  <c r="AY51" i="9"/>
  <c r="BD51" i="9" s="1"/>
  <c r="BE51" i="9" s="1"/>
  <c r="BH51" i="9" s="1"/>
  <c r="F51" i="11" s="1"/>
  <c r="AW47" i="9"/>
  <c r="AW48" i="9"/>
  <c r="AV94" i="3"/>
  <c r="AW94" i="3" s="1"/>
  <c r="U94" i="11" s="1"/>
  <c r="CA88" i="9"/>
  <c r="Q88" i="11" s="1"/>
  <c r="J88" i="11" s="1"/>
  <c r="CC88" i="9"/>
  <c r="N88" i="11" s="1"/>
  <c r="CA83" i="9"/>
  <c r="Q83" i="11" s="1"/>
  <c r="J83" i="11" s="1"/>
  <c r="AQ70" i="3"/>
  <c r="AT70" i="3" s="1"/>
  <c r="AW70" i="9" s="1"/>
  <c r="BZ100" i="9"/>
  <c r="CA100" i="9" s="1"/>
  <c r="Q100" i="11" s="1"/>
  <c r="J100" i="11" s="1"/>
  <c r="BZ79" i="9"/>
  <c r="CB79" i="9" s="1"/>
  <c r="BD90" i="3"/>
  <c r="BE90" i="3" s="1"/>
  <c r="Y90" i="11" s="1"/>
  <c r="I90" i="11" s="1"/>
  <c r="BD70" i="3"/>
  <c r="BE70" i="3" s="1"/>
  <c r="Y70" i="11" s="1"/>
  <c r="I70" i="11" s="1"/>
  <c r="BD83" i="3"/>
  <c r="BE83" i="3" s="1"/>
  <c r="Y83" i="11" s="1"/>
  <c r="I83" i="11" s="1"/>
  <c r="BZ41" i="9"/>
  <c r="CB41" i="9" s="1"/>
  <c r="BD98" i="3"/>
  <c r="BE98" i="3" s="1"/>
  <c r="Y98" i="11" s="1"/>
  <c r="I98" i="11" s="1"/>
  <c r="BD17" i="3"/>
  <c r="BE17" i="3" s="1"/>
  <c r="Y17" i="11" s="1"/>
  <c r="I17" i="11" s="1"/>
  <c r="BD8" i="3"/>
  <c r="BE8" i="3" s="1"/>
  <c r="Y8" i="11" s="1"/>
  <c r="I8" i="11" s="1"/>
  <c r="BD54" i="3"/>
  <c r="BE54" i="3" s="1"/>
  <c r="Y54" i="11" s="1"/>
  <c r="I54" i="11" s="1"/>
  <c r="AQ100" i="3"/>
  <c r="AT100" i="3" s="1"/>
  <c r="AQ9" i="3"/>
  <c r="AT9" i="3" s="1"/>
  <c r="BZ9" i="9"/>
  <c r="BD79" i="3"/>
  <c r="BE79" i="3" s="1"/>
  <c r="Y79" i="11" s="1"/>
  <c r="I79" i="11" s="1"/>
  <c r="AQ41" i="3"/>
  <c r="AT41" i="3" s="1"/>
  <c r="AW41" i="9" s="1"/>
  <c r="AY41" i="9" s="1"/>
  <c r="AW37" i="9"/>
  <c r="AQ54" i="3"/>
  <c r="AT54" i="3" s="1"/>
  <c r="AV54" i="3" s="1"/>
  <c r="AW54" i="3" s="1"/>
  <c r="U54" i="11" s="1"/>
  <c r="BZ90" i="9"/>
  <c r="BZ98" i="9"/>
  <c r="BZ8" i="9"/>
  <c r="BO39" i="9"/>
  <c r="BP39" i="9" s="1"/>
  <c r="K39" i="11" s="1"/>
  <c r="BO94" i="9"/>
  <c r="BP94" i="9" s="1"/>
  <c r="K94" i="11" s="1"/>
  <c r="AQ83" i="3"/>
  <c r="AT83" i="3" s="1"/>
  <c r="AW83" i="9" s="1"/>
  <c r="BD5" i="3"/>
  <c r="BE5" i="3" s="1"/>
  <c r="Y5" i="11" s="1"/>
  <c r="I5" i="11" s="1"/>
  <c r="BZ5" i="9"/>
  <c r="CB5" i="9" s="1"/>
  <c r="AV98" i="3"/>
  <c r="AW98" i="3" s="1"/>
  <c r="U98" i="11" s="1"/>
  <c r="AW91" i="9"/>
  <c r="AV20" i="3"/>
  <c r="AW20" i="3" s="1"/>
  <c r="U20" i="11" s="1"/>
  <c r="AW40" i="9"/>
  <c r="AW79" i="9"/>
  <c r="AY79" i="9" s="1"/>
  <c r="CA81" i="9"/>
  <c r="Q81" i="11" s="1"/>
  <c r="J81" i="11" s="1"/>
  <c r="CA70" i="9"/>
  <c r="Q70" i="11" s="1"/>
  <c r="J70" i="11" s="1"/>
  <c r="AW11" i="9"/>
  <c r="AW17" i="9"/>
  <c r="AY17" i="9" s="1"/>
  <c r="AW5" i="9"/>
  <c r="AV8" i="3"/>
  <c r="AW8" i="3" s="1"/>
  <c r="U8" i="11" s="1"/>
  <c r="AW90" i="9"/>
  <c r="AY90" i="9" s="1"/>
  <c r="AV90" i="3"/>
  <c r="AW90" i="3" s="1"/>
  <c r="U90" i="11" s="1"/>
  <c r="AW74" i="9"/>
  <c r="AY74" i="9" s="1"/>
  <c r="AV74" i="3"/>
  <c r="AW74" i="3" s="1"/>
  <c r="U74" i="11" s="1"/>
  <c r="CC74" i="9"/>
  <c r="N74" i="11" s="1"/>
  <c r="CA74" i="9"/>
  <c r="Q74" i="11" s="1"/>
  <c r="J74" i="11" s="1"/>
  <c r="CA26" i="9"/>
  <c r="Q26" i="11" s="1"/>
  <c r="J26" i="11" s="1"/>
  <c r="CC26" i="9"/>
  <c r="N26" i="11" s="1"/>
  <c r="CA54" i="9"/>
  <c r="Q54" i="11" s="1"/>
  <c r="J54" i="11" s="1"/>
  <c r="AV13" i="3"/>
  <c r="AW13" i="3" s="1"/>
  <c r="U13" i="11" s="1"/>
  <c r="AW13" i="9"/>
  <c r="AY13" i="9" s="1"/>
  <c r="CA13" i="9"/>
  <c r="Q13" i="11" s="1"/>
  <c r="J13" i="11" s="1"/>
  <c r="CC13" i="9"/>
  <c r="N13" i="11" s="1"/>
  <c r="AV26" i="3"/>
  <c r="AW26" i="3" s="1"/>
  <c r="U26" i="11" s="1"/>
  <c r="AW26" i="9"/>
  <c r="AY26" i="9" s="1"/>
  <c r="AW80" i="9"/>
  <c r="AY80" i="9" s="1"/>
  <c r="AV80" i="3"/>
  <c r="AW80" i="3" s="1"/>
  <c r="U80" i="11" s="1"/>
  <c r="AV36" i="3"/>
  <c r="AW36" i="3" s="1"/>
  <c r="U36" i="11" s="1"/>
  <c r="AW36" i="9"/>
  <c r="AY36" i="9" s="1"/>
  <c r="CA85" i="9"/>
  <c r="Q85" i="11" s="1"/>
  <c r="J85" i="11" s="1"/>
  <c r="CC85" i="9"/>
  <c r="N85" i="11" s="1"/>
  <c r="CA36" i="9"/>
  <c r="Q36" i="11" s="1"/>
  <c r="J36" i="11" s="1"/>
  <c r="CC36" i="9"/>
  <c r="N36" i="11" s="1"/>
  <c r="BO95" i="9"/>
  <c r="BP95" i="9" s="1"/>
  <c r="K95" i="11" s="1"/>
  <c r="BD95" i="9"/>
  <c r="BE95" i="9" s="1"/>
  <c r="AV85" i="3"/>
  <c r="AW85" i="3" s="1"/>
  <c r="U85" i="11" s="1"/>
  <c r="AW85" i="9"/>
  <c r="AY85" i="9" s="1"/>
  <c r="CC46" i="9"/>
  <c r="N46" i="11" s="1"/>
  <c r="CA46" i="9"/>
  <c r="Q46" i="11" s="1"/>
  <c r="J46" i="11" s="1"/>
  <c r="CA42" i="9"/>
  <c r="Q42" i="11" s="1"/>
  <c r="J42" i="11" s="1"/>
  <c r="CC42" i="9"/>
  <c r="N42" i="11" s="1"/>
  <c r="AW84" i="9"/>
  <c r="AY84" i="9" s="1"/>
  <c r="AV84" i="3"/>
  <c r="AW84" i="3" s="1"/>
  <c r="U84" i="11" s="1"/>
  <c r="CA97" i="9"/>
  <c r="Q97" i="11" s="1"/>
  <c r="J97" i="11" s="1"/>
  <c r="CC97" i="9"/>
  <c r="N97" i="11" s="1"/>
  <c r="AW33" i="9"/>
  <c r="AY33" i="9" s="1"/>
  <c r="AV33" i="3"/>
  <c r="AW33" i="3" s="1"/>
  <c r="U33" i="11" s="1"/>
  <c r="AW18" i="9"/>
  <c r="AY18" i="9" s="1"/>
  <c r="AV18" i="3"/>
  <c r="AW18" i="3" s="1"/>
  <c r="U18" i="11" s="1"/>
  <c r="CA101" i="9"/>
  <c r="Q101" i="11" s="1"/>
  <c r="J101" i="11" s="1"/>
  <c r="CC101" i="9"/>
  <c r="N101" i="11" s="1"/>
  <c r="BO56" i="9"/>
  <c r="BP56" i="9" s="1"/>
  <c r="K56" i="11" s="1"/>
  <c r="BD56" i="9"/>
  <c r="BE56" i="9" s="1"/>
  <c r="BD6" i="9"/>
  <c r="BE6" i="9" s="1"/>
  <c r="BO6" i="9"/>
  <c r="BP6" i="9" s="1"/>
  <c r="K6" i="11" s="1"/>
  <c r="AW57" i="9"/>
  <c r="AY57" i="9" s="1"/>
  <c r="AV57" i="3"/>
  <c r="AW57" i="3" s="1"/>
  <c r="U57" i="11" s="1"/>
  <c r="AW87" i="9"/>
  <c r="AY87" i="9" s="1"/>
  <c r="AV87" i="3"/>
  <c r="AW87" i="3" s="1"/>
  <c r="U87" i="11" s="1"/>
  <c r="CC67" i="9"/>
  <c r="N67" i="11" s="1"/>
  <c r="CA67" i="9"/>
  <c r="Q67" i="11" s="1"/>
  <c r="J67" i="11" s="1"/>
  <c r="CA84" i="9"/>
  <c r="Q84" i="11" s="1"/>
  <c r="J84" i="11" s="1"/>
  <c r="CC84" i="9"/>
  <c r="N84" i="11" s="1"/>
  <c r="CC75" i="9"/>
  <c r="N75" i="11" s="1"/>
  <c r="CA75" i="9"/>
  <c r="Q75" i="11" s="1"/>
  <c r="J75" i="11" s="1"/>
  <c r="AW71" i="9"/>
  <c r="AY71" i="9" s="1"/>
  <c r="AV71" i="3"/>
  <c r="AW71" i="3" s="1"/>
  <c r="U71" i="11" s="1"/>
  <c r="CC33" i="9"/>
  <c r="N33" i="11" s="1"/>
  <c r="CA33" i="9"/>
  <c r="Q33" i="11" s="1"/>
  <c r="J33" i="11" s="1"/>
  <c r="AV31" i="3"/>
  <c r="AW31" i="3" s="1"/>
  <c r="U31" i="11" s="1"/>
  <c r="AW31" i="9"/>
  <c r="AY31" i="9" s="1"/>
  <c r="CA18" i="9"/>
  <c r="Q18" i="11" s="1"/>
  <c r="J18" i="11" s="1"/>
  <c r="CC18" i="9"/>
  <c r="N18" i="11" s="1"/>
  <c r="AV46" i="3"/>
  <c r="AW46" i="3" s="1"/>
  <c r="U46" i="11" s="1"/>
  <c r="AW46" i="9"/>
  <c r="AY46" i="9" s="1"/>
  <c r="BD98" i="9"/>
  <c r="BE98" i="9" s="1"/>
  <c r="BO98" i="9"/>
  <c r="BP98" i="9" s="1"/>
  <c r="K98" i="11" s="1"/>
  <c r="AV105" i="3"/>
  <c r="AW105" i="3" s="1"/>
  <c r="U105" i="11" s="1"/>
  <c r="AW105" i="9"/>
  <c r="AY105" i="9" s="1"/>
  <c r="AW21" i="9"/>
  <c r="AY21" i="9" s="1"/>
  <c r="AV21" i="3"/>
  <c r="AW21" i="3" s="1"/>
  <c r="U21" i="11" s="1"/>
  <c r="AW75" i="9"/>
  <c r="AY75" i="9" s="1"/>
  <c r="AV75" i="3"/>
  <c r="AW75" i="3" s="1"/>
  <c r="U75" i="11" s="1"/>
  <c r="AV65" i="3"/>
  <c r="AW65" i="3" s="1"/>
  <c r="U65" i="11" s="1"/>
  <c r="AW65" i="9"/>
  <c r="AY65" i="9" s="1"/>
  <c r="CA38" i="9"/>
  <c r="Q38" i="11" s="1"/>
  <c r="J38" i="11" s="1"/>
  <c r="CC38" i="9"/>
  <c r="N38" i="11" s="1"/>
  <c r="AW92" i="9"/>
  <c r="AY92" i="9" s="1"/>
  <c r="AV92" i="3"/>
  <c r="AW92" i="3" s="1"/>
  <c r="U92" i="11" s="1"/>
  <c r="AV106" i="3"/>
  <c r="AW106" i="3" s="1"/>
  <c r="U106" i="11" s="1"/>
  <c r="AW106" i="9"/>
  <c r="AY106" i="9" s="1"/>
  <c r="AW67" i="9"/>
  <c r="AY67" i="9" s="1"/>
  <c r="AV67" i="3"/>
  <c r="AW67" i="3" s="1"/>
  <c r="U67" i="11" s="1"/>
  <c r="AW38" i="9"/>
  <c r="AY38" i="9" s="1"/>
  <c r="AV38" i="3"/>
  <c r="AW38" i="3" s="1"/>
  <c r="U38" i="11" s="1"/>
  <c r="BO29" i="9"/>
  <c r="BP29" i="9" s="1"/>
  <c r="K29" i="11" s="1"/>
  <c r="BD29" i="9"/>
  <c r="BE29" i="9" s="1"/>
  <c r="AV25" i="3"/>
  <c r="AW25" i="3" s="1"/>
  <c r="U25" i="11" s="1"/>
  <c r="AW25" i="9"/>
  <c r="AY25" i="9" s="1"/>
  <c r="CC57" i="9"/>
  <c r="N57" i="11" s="1"/>
  <c r="CA57" i="9"/>
  <c r="Q57" i="11" s="1"/>
  <c r="J57" i="11" s="1"/>
  <c r="AV24" i="3"/>
  <c r="AW24" i="3" s="1"/>
  <c r="U24" i="11" s="1"/>
  <c r="AW24" i="9"/>
  <c r="AY24" i="9" s="1"/>
  <c r="CC92" i="9"/>
  <c r="N92" i="11" s="1"/>
  <c r="CA92" i="9"/>
  <c r="Q92" i="11" s="1"/>
  <c r="J92" i="11" s="1"/>
  <c r="CC55" i="9"/>
  <c r="N55" i="11" s="1"/>
  <c r="CA55" i="9"/>
  <c r="Q55" i="11" s="1"/>
  <c r="J55" i="11" s="1"/>
  <c r="AV96" i="3"/>
  <c r="AW96" i="3" s="1"/>
  <c r="U96" i="11" s="1"/>
  <c r="AW96" i="9"/>
  <c r="AY96" i="9" s="1"/>
  <c r="CC105" i="9"/>
  <c r="N105" i="11" s="1"/>
  <c r="CA105" i="9"/>
  <c r="Q105" i="11" s="1"/>
  <c r="J105" i="11" s="1"/>
  <c r="AW76" i="9"/>
  <c r="AY76" i="9" s="1"/>
  <c r="AV76" i="3"/>
  <c r="AW76" i="3" s="1"/>
  <c r="U76" i="11" s="1"/>
  <c r="AV55" i="3"/>
  <c r="AW55" i="3" s="1"/>
  <c r="U55" i="11" s="1"/>
  <c r="AW55" i="9"/>
  <c r="AY55" i="9" s="1"/>
  <c r="CA53" i="9"/>
  <c r="Q53" i="11" s="1"/>
  <c r="J53" i="11" s="1"/>
  <c r="CC53" i="9"/>
  <c r="N53" i="11" s="1"/>
  <c r="AW63" i="9"/>
  <c r="AY63" i="9" s="1"/>
  <c r="AV63" i="3"/>
  <c r="AW63" i="3" s="1"/>
  <c r="U63" i="11" s="1"/>
  <c r="CA49" i="9"/>
  <c r="Q49" i="11" s="1"/>
  <c r="J49" i="11" s="1"/>
  <c r="CC49" i="9"/>
  <c r="N49" i="11" s="1"/>
  <c r="CA25" i="9"/>
  <c r="Q25" i="11" s="1"/>
  <c r="J25" i="11" s="1"/>
  <c r="CC25" i="9"/>
  <c r="N25" i="11" s="1"/>
  <c r="CA10" i="9"/>
  <c r="Q10" i="11" s="1"/>
  <c r="J10" i="11" s="1"/>
  <c r="CC10" i="9"/>
  <c r="N10" i="11" s="1"/>
  <c r="AV72" i="3"/>
  <c r="AW72" i="3" s="1"/>
  <c r="U72" i="11" s="1"/>
  <c r="AW72" i="9"/>
  <c r="AY72" i="9" s="1"/>
  <c r="AV73" i="3"/>
  <c r="AW73" i="3" s="1"/>
  <c r="U73" i="11" s="1"/>
  <c r="AW73" i="9"/>
  <c r="AY73" i="9" s="1"/>
  <c r="CC24" i="9"/>
  <c r="N24" i="11" s="1"/>
  <c r="CA24" i="9"/>
  <c r="Q24" i="11" s="1"/>
  <c r="J24" i="11" s="1"/>
  <c r="AW50" i="9"/>
  <c r="AY50" i="9" s="1"/>
  <c r="AV50" i="3"/>
  <c r="AW50" i="3" s="1"/>
  <c r="U50" i="11" s="1"/>
  <c r="AW27" i="9"/>
  <c r="AY27" i="9" s="1"/>
  <c r="AV27" i="3"/>
  <c r="AW27" i="3" s="1"/>
  <c r="U27" i="11" s="1"/>
  <c r="AW44" i="9"/>
  <c r="AY44" i="9" s="1"/>
  <c r="AV44" i="3"/>
  <c r="AW44" i="3" s="1"/>
  <c r="U44" i="11" s="1"/>
  <c r="AW103" i="9"/>
  <c r="AY103" i="9" s="1"/>
  <c r="AV103" i="3"/>
  <c r="AW103" i="3" s="1"/>
  <c r="U103" i="11" s="1"/>
  <c r="CA14" i="9"/>
  <c r="Q14" i="11" s="1"/>
  <c r="J14" i="11" s="1"/>
  <c r="CC14" i="9"/>
  <c r="N14" i="11" s="1"/>
  <c r="CA62" i="9"/>
  <c r="Q62" i="11" s="1"/>
  <c r="J62" i="11" s="1"/>
  <c r="CC62" i="9"/>
  <c r="N62" i="11" s="1"/>
  <c r="CC78" i="9"/>
  <c r="N78" i="11" s="1"/>
  <c r="CA78" i="9"/>
  <c r="Q78" i="11" s="1"/>
  <c r="J78" i="11" s="1"/>
  <c r="CA19" i="9"/>
  <c r="Q19" i="11" s="1"/>
  <c r="J19" i="11" s="1"/>
  <c r="CC19" i="9"/>
  <c r="N19" i="11" s="1"/>
  <c r="CC21" i="9"/>
  <c r="N21" i="11" s="1"/>
  <c r="CA21" i="9"/>
  <c r="Q21" i="11" s="1"/>
  <c r="J21" i="11" s="1"/>
  <c r="CC71" i="9"/>
  <c r="N71" i="11" s="1"/>
  <c r="CA71" i="9"/>
  <c r="Q71" i="11" s="1"/>
  <c r="J71" i="11" s="1"/>
  <c r="AV14" i="3"/>
  <c r="AW14" i="3" s="1"/>
  <c r="U14" i="11" s="1"/>
  <c r="AW14" i="9"/>
  <c r="AY14" i="9" s="1"/>
  <c r="CC27" i="9"/>
  <c r="N27" i="11" s="1"/>
  <c r="CA27" i="9"/>
  <c r="Q27" i="11" s="1"/>
  <c r="J27" i="11" s="1"/>
  <c r="AV62" i="3"/>
  <c r="AW62" i="3" s="1"/>
  <c r="U62" i="11" s="1"/>
  <c r="AW62" i="9"/>
  <c r="AY62" i="9" s="1"/>
  <c r="CC106" i="9"/>
  <c r="N106" i="11" s="1"/>
  <c r="CA106" i="9"/>
  <c r="Q106" i="11" s="1"/>
  <c r="J106" i="11" s="1"/>
  <c r="CC76" i="9"/>
  <c r="N76" i="11" s="1"/>
  <c r="CA76" i="9"/>
  <c r="Q76" i="11" s="1"/>
  <c r="J76" i="11" s="1"/>
  <c r="CA64" i="9"/>
  <c r="Q64" i="11" s="1"/>
  <c r="J64" i="11" s="1"/>
  <c r="CC64" i="9"/>
  <c r="N64" i="11" s="1"/>
  <c r="AV30" i="3"/>
  <c r="AW30" i="3" s="1"/>
  <c r="U30" i="11" s="1"/>
  <c r="AW30" i="9"/>
  <c r="AY30" i="9" s="1"/>
  <c r="CA63" i="9"/>
  <c r="Q63" i="11" s="1"/>
  <c r="J63" i="11" s="1"/>
  <c r="CC63" i="9"/>
  <c r="N63" i="11" s="1"/>
  <c r="CC16" i="9"/>
  <c r="N16" i="11" s="1"/>
  <c r="CA16" i="9"/>
  <c r="Q16" i="11" s="1"/>
  <c r="J16" i="11" s="1"/>
  <c r="AW59" i="9"/>
  <c r="AY59" i="9" s="1"/>
  <c r="AV59" i="3"/>
  <c r="AW59" i="3" s="1"/>
  <c r="U59" i="11" s="1"/>
  <c r="AW10" i="9"/>
  <c r="AY10" i="9" s="1"/>
  <c r="AV10" i="3"/>
  <c r="AW10" i="3" s="1"/>
  <c r="U10" i="11" s="1"/>
  <c r="CA72" i="9"/>
  <c r="Q72" i="11" s="1"/>
  <c r="J72" i="11" s="1"/>
  <c r="CC72" i="9"/>
  <c r="N72" i="11" s="1"/>
  <c r="CC73" i="9"/>
  <c r="N73" i="11" s="1"/>
  <c r="CA73" i="9"/>
  <c r="Q73" i="11" s="1"/>
  <c r="J73" i="11" s="1"/>
  <c r="CA50" i="9"/>
  <c r="Q50" i="11" s="1"/>
  <c r="J50" i="11" s="1"/>
  <c r="CC50" i="9"/>
  <c r="N50" i="11" s="1"/>
  <c r="AW97" i="9"/>
  <c r="AY97" i="9" s="1"/>
  <c r="AV97" i="3"/>
  <c r="AW97" i="3" s="1"/>
  <c r="U97" i="11" s="1"/>
  <c r="CA44" i="9"/>
  <c r="Q44" i="11" s="1"/>
  <c r="J44" i="11" s="1"/>
  <c r="CC44" i="9"/>
  <c r="N44" i="11" s="1"/>
  <c r="CC103" i="9"/>
  <c r="N103" i="11" s="1"/>
  <c r="CA103" i="9"/>
  <c r="Q103" i="11" s="1"/>
  <c r="J103" i="11" s="1"/>
  <c r="AV89" i="3"/>
  <c r="AW89" i="3" s="1"/>
  <c r="U89" i="11" s="1"/>
  <c r="AW89" i="9"/>
  <c r="AY89" i="9" s="1"/>
  <c r="CA60" i="9"/>
  <c r="Q60" i="11" s="1"/>
  <c r="J60" i="11" s="1"/>
  <c r="CC60" i="9"/>
  <c r="N60" i="11" s="1"/>
  <c r="CA104" i="9"/>
  <c r="Q104" i="11" s="1"/>
  <c r="J104" i="11" s="1"/>
  <c r="CC104" i="9"/>
  <c r="N104" i="11" s="1"/>
  <c r="AV101" i="3"/>
  <c r="AW101" i="3" s="1"/>
  <c r="U101" i="11" s="1"/>
  <c r="AW101" i="9"/>
  <c r="AY101" i="9" s="1"/>
  <c r="CC96" i="9"/>
  <c r="N96" i="11" s="1"/>
  <c r="CA96" i="9"/>
  <c r="Q96" i="11" s="1"/>
  <c r="J96" i="11" s="1"/>
  <c r="CC65" i="9"/>
  <c r="N65" i="11" s="1"/>
  <c r="CA65" i="9"/>
  <c r="Q65" i="11" s="1"/>
  <c r="J65" i="11" s="1"/>
  <c r="AV53" i="3"/>
  <c r="AW53" i="3" s="1"/>
  <c r="U53" i="11" s="1"/>
  <c r="AW53" i="9"/>
  <c r="AY53" i="9" s="1"/>
  <c r="AW49" i="9"/>
  <c r="AY49" i="9" s="1"/>
  <c r="AV49" i="3"/>
  <c r="AW49" i="3" s="1"/>
  <c r="U49" i="11" s="1"/>
  <c r="AW64" i="9"/>
  <c r="AY64" i="9" s="1"/>
  <c r="AV64" i="3"/>
  <c r="AW64" i="3" s="1"/>
  <c r="U64" i="11" s="1"/>
  <c r="CA30" i="9"/>
  <c r="Q30" i="11" s="1"/>
  <c r="J30" i="11" s="1"/>
  <c r="CC30" i="9"/>
  <c r="N30" i="11" s="1"/>
  <c r="AV16" i="3"/>
  <c r="AW16" i="3" s="1"/>
  <c r="U16" i="11" s="1"/>
  <c r="AW16" i="9"/>
  <c r="AY16" i="9" s="1"/>
  <c r="CC59" i="9"/>
  <c r="N59" i="11" s="1"/>
  <c r="CA59" i="9"/>
  <c r="Q59" i="11" s="1"/>
  <c r="J59" i="11" s="1"/>
  <c r="CC87" i="9"/>
  <c r="N87" i="11" s="1"/>
  <c r="CA87" i="9"/>
  <c r="Q87" i="11" s="1"/>
  <c r="J87" i="11" s="1"/>
  <c r="AV42" i="3"/>
  <c r="AW42" i="3" s="1"/>
  <c r="U42" i="11" s="1"/>
  <c r="AW42" i="9"/>
  <c r="AY42" i="9" s="1"/>
  <c r="AV19" i="3"/>
  <c r="AW19" i="3" s="1"/>
  <c r="U19" i="11" s="1"/>
  <c r="AW19" i="9"/>
  <c r="AY19" i="9" s="1"/>
  <c r="CC89" i="9"/>
  <c r="N89" i="11" s="1"/>
  <c r="CA89" i="9"/>
  <c r="Q89" i="11" s="1"/>
  <c r="J89" i="11" s="1"/>
  <c r="AW60" i="9"/>
  <c r="AY60" i="9" s="1"/>
  <c r="AV60" i="3"/>
  <c r="AW60" i="3" s="1"/>
  <c r="U60" i="11" s="1"/>
  <c r="CC31" i="9"/>
  <c r="N31" i="11" s="1"/>
  <c r="CA31" i="9"/>
  <c r="Q31" i="11" s="1"/>
  <c r="J31" i="11" s="1"/>
  <c r="BD52" i="9"/>
  <c r="BE52" i="9" s="1"/>
  <c r="BO52" i="9"/>
  <c r="BP52" i="9" s="1"/>
  <c r="K52" i="11" s="1"/>
  <c r="AV78" i="3"/>
  <c r="AW78" i="3" s="1"/>
  <c r="U78" i="11" s="1"/>
  <c r="AW78" i="9"/>
  <c r="AY78" i="9" s="1"/>
  <c r="AW104" i="9"/>
  <c r="AY104" i="9" s="1"/>
  <c r="AV104" i="3"/>
  <c r="AW104" i="3" s="1"/>
  <c r="U104" i="11" s="1"/>
  <c r="CA39" i="9" l="1"/>
  <c r="Q39" i="11" s="1"/>
  <c r="J39" i="11" s="1"/>
  <c r="CB11" i="9"/>
  <c r="CC11" i="9" s="1"/>
  <c r="N11" i="11" s="1"/>
  <c r="AW88" i="9"/>
  <c r="BO88" i="9" s="1"/>
  <c r="BP88" i="9" s="1"/>
  <c r="K88" i="11" s="1"/>
  <c r="CA43" i="9"/>
  <c r="Q43" i="11" s="1"/>
  <c r="J43" i="11" s="1"/>
  <c r="G82" i="11"/>
  <c r="AY99" i="9"/>
  <c r="BD99" i="9" s="1"/>
  <c r="BE99" i="9" s="1"/>
  <c r="BG99" i="9" s="1"/>
  <c r="E99" i="11" s="1"/>
  <c r="AW43" i="9"/>
  <c r="BO43" i="9" s="1"/>
  <c r="BP43" i="9" s="1"/>
  <c r="K43" i="11" s="1"/>
  <c r="CB91" i="9"/>
  <c r="CC91" i="9" s="1"/>
  <c r="N91" i="11" s="1"/>
  <c r="AW15" i="9"/>
  <c r="AY15" i="9" s="1"/>
  <c r="BD15" i="9" s="1"/>
  <c r="BE15" i="9" s="1"/>
  <c r="BF15" i="9" s="1"/>
  <c r="CA80" i="9"/>
  <c r="Q80" i="11" s="1"/>
  <c r="J80" i="11" s="1"/>
  <c r="CA48" i="9"/>
  <c r="Q48" i="11" s="1"/>
  <c r="J48" i="11" s="1"/>
  <c r="CA28" i="9"/>
  <c r="Q28" i="11" s="1"/>
  <c r="J28" i="11" s="1"/>
  <c r="CB34" i="9"/>
  <c r="CC34" i="9" s="1"/>
  <c r="N34" i="11" s="1"/>
  <c r="CB40" i="9"/>
  <c r="CC40" i="9" s="1"/>
  <c r="N40" i="11" s="1"/>
  <c r="CA58" i="9"/>
  <c r="Q58" i="11" s="1"/>
  <c r="J58" i="11" s="1"/>
  <c r="CA37" i="9"/>
  <c r="Q37" i="11" s="1"/>
  <c r="J37" i="11" s="1"/>
  <c r="AW61" i="9"/>
  <c r="BO61" i="9" s="1"/>
  <c r="BP61" i="9" s="1"/>
  <c r="K61" i="11" s="1"/>
  <c r="AW23" i="9"/>
  <c r="AY23" i="9" s="1"/>
  <c r="BD23" i="9" s="1"/>
  <c r="BE23" i="9" s="1"/>
  <c r="AW81" i="9"/>
  <c r="BO81" i="9" s="1"/>
  <c r="BP81" i="9" s="1"/>
  <c r="K81" i="11" s="1"/>
  <c r="AV102" i="3"/>
  <c r="AW102" i="3" s="1"/>
  <c r="U102" i="11" s="1"/>
  <c r="AW7" i="9"/>
  <c r="AY7" i="9" s="1"/>
  <c r="BD7" i="9" s="1"/>
  <c r="BE7" i="9" s="1"/>
  <c r="BH7" i="9" s="1"/>
  <c r="F7" i="11" s="1"/>
  <c r="AW58" i="9"/>
  <c r="AY58" i="9" s="1"/>
  <c r="BD58" i="9" s="1"/>
  <c r="BE58" i="9" s="1"/>
  <c r="AW45" i="9"/>
  <c r="AY45" i="9" s="1"/>
  <c r="BD45" i="9" s="1"/>
  <c r="BE45" i="9" s="1"/>
  <c r="AW93" i="9"/>
  <c r="AY93" i="9" s="1"/>
  <c r="BD93" i="9" s="1"/>
  <c r="BE93" i="9" s="1"/>
  <c r="BH82" i="9"/>
  <c r="F82" i="11" s="1"/>
  <c r="CA93" i="9"/>
  <c r="Q93" i="11" s="1"/>
  <c r="J93" i="11" s="1"/>
  <c r="BG82" i="9"/>
  <c r="E82" i="11" s="1"/>
  <c r="CA32" i="9"/>
  <c r="Q32" i="11" s="1"/>
  <c r="J32" i="11" s="1"/>
  <c r="AW77" i="9"/>
  <c r="AY77" i="9" s="1"/>
  <c r="BD77" i="9" s="1"/>
  <c r="BE77" i="9" s="1"/>
  <c r="AW66" i="9"/>
  <c r="AY66" i="9" s="1"/>
  <c r="BD66" i="9" s="1"/>
  <c r="BE66" i="9" s="1"/>
  <c r="BF66" i="9" s="1"/>
  <c r="CA47" i="9"/>
  <c r="Q47" i="11" s="1"/>
  <c r="J47" i="11" s="1"/>
  <c r="CA69" i="9"/>
  <c r="Q69" i="11" s="1"/>
  <c r="J69" i="11" s="1"/>
  <c r="AY102" i="9"/>
  <c r="BD102" i="9" s="1"/>
  <c r="BE102" i="9" s="1"/>
  <c r="BH102" i="9" s="1"/>
  <c r="F102" i="11" s="1"/>
  <c r="CB23" i="9"/>
  <c r="CC23" i="9" s="1"/>
  <c r="N23" i="11" s="1"/>
  <c r="AY34" i="9"/>
  <c r="BD34" i="9" s="1"/>
  <c r="BE34" i="9" s="1"/>
  <c r="BF34" i="9" s="1"/>
  <c r="AY68" i="9"/>
  <c r="BD68" i="9" s="1"/>
  <c r="BE68" i="9" s="1"/>
  <c r="BH68" i="9" s="1"/>
  <c r="F68" i="11" s="1"/>
  <c r="CB20" i="9"/>
  <c r="CC20" i="9" s="1"/>
  <c r="N20" i="11" s="1"/>
  <c r="AW35" i="9"/>
  <c r="AY35" i="9" s="1"/>
  <c r="BD35" i="9" s="1"/>
  <c r="BE35" i="9" s="1"/>
  <c r="AV68" i="3"/>
  <c r="AW68" i="3" s="1"/>
  <c r="U68" i="11" s="1"/>
  <c r="CB45" i="9"/>
  <c r="CC45" i="9" s="1"/>
  <c r="N45" i="11" s="1"/>
  <c r="BO28" i="9"/>
  <c r="BP28" i="9" s="1"/>
  <c r="K28" i="11" s="1"/>
  <c r="CB17" i="9"/>
  <c r="CC17" i="9" s="1"/>
  <c r="N17" i="11" s="1"/>
  <c r="BF51" i="9"/>
  <c r="G51" i="11" s="1"/>
  <c r="BO86" i="9"/>
  <c r="BP86" i="9" s="1"/>
  <c r="K86" i="11" s="1"/>
  <c r="CA68" i="9"/>
  <c r="Q68" i="11" s="1"/>
  <c r="J68" i="11" s="1"/>
  <c r="AV69" i="3"/>
  <c r="AW69" i="3" s="1"/>
  <c r="U69" i="11" s="1"/>
  <c r="AY69" i="9"/>
  <c r="BD69" i="9" s="1"/>
  <c r="BE69" i="9" s="1"/>
  <c r="BF69" i="9" s="1"/>
  <c r="AY12" i="9"/>
  <c r="BD12" i="9" s="1"/>
  <c r="BE12" i="9" s="1"/>
  <c r="BF12" i="9" s="1"/>
  <c r="G12" i="11" s="1"/>
  <c r="AV32" i="3"/>
  <c r="AW32" i="3" s="1"/>
  <c r="U32" i="11" s="1"/>
  <c r="AV86" i="3"/>
  <c r="AW86" i="3" s="1"/>
  <c r="U86" i="11" s="1"/>
  <c r="AV28" i="3"/>
  <c r="AW28" i="3" s="1"/>
  <c r="U28" i="11" s="1"/>
  <c r="AW22" i="9"/>
  <c r="BO22" i="9" s="1"/>
  <c r="BP22" i="9" s="1"/>
  <c r="K22" i="11" s="1"/>
  <c r="CA12" i="9"/>
  <c r="Q12" i="11" s="1"/>
  <c r="J12" i="11" s="1"/>
  <c r="AV41" i="3"/>
  <c r="AW41" i="3" s="1"/>
  <c r="U41" i="11" s="1"/>
  <c r="CA94" i="9"/>
  <c r="Q94" i="11" s="1"/>
  <c r="J94" i="11" s="1"/>
  <c r="CB77" i="9"/>
  <c r="CC77" i="9" s="1"/>
  <c r="N77" i="11" s="1"/>
  <c r="BG51" i="9"/>
  <c r="E51" i="11" s="1"/>
  <c r="CB100" i="9"/>
  <c r="CC100" i="9" s="1"/>
  <c r="N100" i="11" s="1"/>
  <c r="CA8" i="9"/>
  <c r="Q8" i="11" s="1"/>
  <c r="J8" i="11" s="1"/>
  <c r="CB8" i="9"/>
  <c r="CC8" i="9" s="1"/>
  <c r="N8" i="11" s="1"/>
  <c r="CA98" i="9"/>
  <c r="Q98" i="11" s="1"/>
  <c r="J98" i="11" s="1"/>
  <c r="CB98" i="9"/>
  <c r="CC98" i="9" s="1"/>
  <c r="N98" i="11" s="1"/>
  <c r="CB9" i="9"/>
  <c r="CC9" i="9" s="1"/>
  <c r="N9" i="11" s="1"/>
  <c r="CA90" i="9"/>
  <c r="Q90" i="11" s="1"/>
  <c r="J90" i="11" s="1"/>
  <c r="CB90" i="9"/>
  <c r="CC90" i="9" s="1"/>
  <c r="N90" i="11" s="1"/>
  <c r="BG39" i="9"/>
  <c r="E39" i="11" s="1"/>
  <c r="BH39" i="9"/>
  <c r="F39" i="11" s="1"/>
  <c r="BF39" i="9"/>
  <c r="G39" i="11" s="1"/>
  <c r="BF28" i="9"/>
  <c r="BG28" i="9"/>
  <c r="E28" i="11" s="1"/>
  <c r="BH28" i="9"/>
  <c r="F28" i="11" s="1"/>
  <c r="BF94" i="9"/>
  <c r="G94" i="11" s="1"/>
  <c r="BG94" i="9"/>
  <c r="E94" i="11" s="1"/>
  <c r="BH94" i="9"/>
  <c r="F94" i="11" s="1"/>
  <c r="BG86" i="9"/>
  <c r="E86" i="11" s="1"/>
  <c r="BF86" i="9"/>
  <c r="BH86" i="9"/>
  <c r="F86" i="11" s="1"/>
  <c r="AY11" i="9"/>
  <c r="BD11" i="9" s="1"/>
  <c r="BE11" i="9" s="1"/>
  <c r="BO70" i="9"/>
  <c r="BP70" i="9" s="1"/>
  <c r="K70" i="11" s="1"/>
  <c r="AY70" i="9"/>
  <c r="BD70" i="9" s="1"/>
  <c r="BE70" i="9" s="1"/>
  <c r="AY40" i="9"/>
  <c r="BD40" i="9" s="1"/>
  <c r="BE40" i="9" s="1"/>
  <c r="BO91" i="9"/>
  <c r="BP91" i="9" s="1"/>
  <c r="K91" i="11" s="1"/>
  <c r="AY91" i="9"/>
  <c r="BD91" i="9" s="1"/>
  <c r="BE91" i="9" s="1"/>
  <c r="BH91" i="9" s="1"/>
  <c r="F91" i="11" s="1"/>
  <c r="BO48" i="9"/>
  <c r="BP48" i="9" s="1"/>
  <c r="K48" i="11" s="1"/>
  <c r="AY48" i="9"/>
  <c r="BD48" i="9" s="1"/>
  <c r="BE48" i="9" s="1"/>
  <c r="BO83" i="9"/>
  <c r="BP83" i="9" s="1"/>
  <c r="K83" i="11" s="1"/>
  <c r="AY83" i="9"/>
  <c r="BD83" i="9" s="1"/>
  <c r="BE83" i="9" s="1"/>
  <c r="AY37" i="9"/>
  <c r="BD37" i="9" s="1"/>
  <c r="BE37" i="9" s="1"/>
  <c r="BO47" i="9"/>
  <c r="BP47" i="9" s="1"/>
  <c r="K47" i="11" s="1"/>
  <c r="AY47" i="9"/>
  <c r="BD47" i="9" s="1"/>
  <c r="BE47" i="9" s="1"/>
  <c r="BH47" i="9" s="1"/>
  <c r="F47" i="11" s="1"/>
  <c r="AY5" i="9"/>
  <c r="BD5" i="9" s="1"/>
  <c r="BE5" i="9" s="1"/>
  <c r="BO37" i="9"/>
  <c r="BP37" i="9" s="1"/>
  <c r="K37" i="11" s="1"/>
  <c r="CA9" i="9"/>
  <c r="Q9" i="11" s="1"/>
  <c r="J9" i="11" s="1"/>
  <c r="AV70" i="3"/>
  <c r="AW70" i="3" s="1"/>
  <c r="U70" i="11" s="1"/>
  <c r="AW54" i="9"/>
  <c r="AW100" i="9"/>
  <c r="AY100" i="9" s="1"/>
  <c r="AV100" i="3"/>
  <c r="AW100" i="3" s="1"/>
  <c r="U100" i="11" s="1"/>
  <c r="CC79" i="9"/>
  <c r="N79" i="11" s="1"/>
  <c r="CA79" i="9"/>
  <c r="Q79" i="11" s="1"/>
  <c r="J79" i="11" s="1"/>
  <c r="AW9" i="9"/>
  <c r="AY9" i="9" s="1"/>
  <c r="AV9" i="3"/>
  <c r="AW9" i="3" s="1"/>
  <c r="U9" i="11" s="1"/>
  <c r="AV83" i="3"/>
  <c r="AW83" i="3" s="1"/>
  <c r="U83" i="11" s="1"/>
  <c r="CC41" i="9"/>
  <c r="N41" i="11" s="1"/>
  <c r="CA41" i="9"/>
  <c r="Q41" i="11" s="1"/>
  <c r="J41" i="11" s="1"/>
  <c r="CA5" i="9"/>
  <c r="Q5" i="11" s="1"/>
  <c r="J5" i="11" s="1"/>
  <c r="CC5" i="9"/>
  <c r="N5" i="11" s="1"/>
  <c r="BO40" i="9"/>
  <c r="BP40" i="9" s="1"/>
  <c r="K40" i="11" s="1"/>
  <c r="BH20" i="9"/>
  <c r="F20" i="11" s="1"/>
  <c r="BF20" i="9"/>
  <c r="BF8" i="9"/>
  <c r="BG8" i="9"/>
  <c r="E8" i="11" s="1"/>
  <c r="BO5" i="9"/>
  <c r="BP5" i="9" s="1"/>
  <c r="K5" i="11" s="1"/>
  <c r="BO79" i="9"/>
  <c r="BP79" i="9" s="1"/>
  <c r="K79" i="11" s="1"/>
  <c r="BD79" i="9"/>
  <c r="BE79" i="9" s="1"/>
  <c r="BO17" i="9"/>
  <c r="BP17" i="9" s="1"/>
  <c r="K17" i="11" s="1"/>
  <c r="BD17" i="9"/>
  <c r="BE17" i="9" s="1"/>
  <c r="BO11" i="9"/>
  <c r="BP11" i="9" s="1"/>
  <c r="K11" i="11" s="1"/>
  <c r="BD90" i="9"/>
  <c r="BE90" i="9" s="1"/>
  <c r="BO90" i="9"/>
  <c r="BP90" i="9" s="1"/>
  <c r="K90" i="11" s="1"/>
  <c r="BD74" i="9"/>
  <c r="BE74" i="9" s="1"/>
  <c r="BO74" i="9"/>
  <c r="BP74" i="9" s="1"/>
  <c r="K74" i="11" s="1"/>
  <c r="BD41" i="9"/>
  <c r="BE41" i="9" s="1"/>
  <c r="BO41" i="9"/>
  <c r="BP41" i="9" s="1"/>
  <c r="K41" i="11" s="1"/>
  <c r="BO13" i="9"/>
  <c r="BP13" i="9" s="1"/>
  <c r="K13" i="11" s="1"/>
  <c r="BD13" i="9"/>
  <c r="BE13" i="9" s="1"/>
  <c r="BD26" i="9"/>
  <c r="BE26" i="9" s="1"/>
  <c r="BO26" i="9"/>
  <c r="BP26" i="9" s="1"/>
  <c r="K26" i="11" s="1"/>
  <c r="BD32" i="9"/>
  <c r="BE32" i="9" s="1"/>
  <c r="BO32" i="9"/>
  <c r="BP32" i="9" s="1"/>
  <c r="K32" i="11" s="1"/>
  <c r="BG95" i="9"/>
  <c r="E95" i="11" s="1"/>
  <c r="BH95" i="9"/>
  <c r="F95" i="11" s="1"/>
  <c r="BF95" i="9"/>
  <c r="G95" i="11" s="1"/>
  <c r="BD36" i="9"/>
  <c r="BE36" i="9" s="1"/>
  <c r="BO36" i="9"/>
  <c r="BP36" i="9" s="1"/>
  <c r="K36" i="11" s="1"/>
  <c r="BO85" i="9"/>
  <c r="BP85" i="9" s="1"/>
  <c r="K85" i="11" s="1"/>
  <c r="BD85" i="9"/>
  <c r="BE85" i="9" s="1"/>
  <c r="BO80" i="9"/>
  <c r="BP80" i="9" s="1"/>
  <c r="K80" i="11" s="1"/>
  <c r="BD80" i="9"/>
  <c r="BE80" i="9" s="1"/>
  <c r="BD73" i="9"/>
  <c r="BE73" i="9" s="1"/>
  <c r="BO73" i="9"/>
  <c r="BP73" i="9" s="1"/>
  <c r="K73" i="11" s="1"/>
  <c r="BF29" i="9"/>
  <c r="G29" i="11" s="1"/>
  <c r="BH29" i="9"/>
  <c r="F29" i="11" s="1"/>
  <c r="BG29" i="9"/>
  <c r="E29" i="11" s="1"/>
  <c r="BO89" i="9"/>
  <c r="BP89" i="9" s="1"/>
  <c r="K89" i="11" s="1"/>
  <c r="BD89" i="9"/>
  <c r="BE89" i="9" s="1"/>
  <c r="BO55" i="9"/>
  <c r="BP55" i="9" s="1"/>
  <c r="K55" i="11" s="1"/>
  <c r="BD55" i="9"/>
  <c r="BE55" i="9" s="1"/>
  <c r="BD25" i="9"/>
  <c r="BE25" i="9" s="1"/>
  <c r="BO25" i="9"/>
  <c r="BP25" i="9" s="1"/>
  <c r="K25" i="11" s="1"/>
  <c r="BO106" i="9"/>
  <c r="BP106" i="9" s="1"/>
  <c r="K106" i="11" s="1"/>
  <c r="BD106" i="9"/>
  <c r="BE106" i="9" s="1"/>
  <c r="BO46" i="9"/>
  <c r="BP46" i="9" s="1"/>
  <c r="K46" i="11" s="1"/>
  <c r="BD46" i="9"/>
  <c r="BE46" i="9" s="1"/>
  <c r="BG56" i="9"/>
  <c r="E56" i="11" s="1"/>
  <c r="BH56" i="9"/>
  <c r="F56" i="11" s="1"/>
  <c r="BF56" i="9"/>
  <c r="G56" i="11" s="1"/>
  <c r="BO104" i="9"/>
  <c r="BP104" i="9" s="1"/>
  <c r="K104" i="11" s="1"/>
  <c r="BD104" i="9"/>
  <c r="BE104" i="9" s="1"/>
  <c r="BO60" i="9"/>
  <c r="BP60" i="9" s="1"/>
  <c r="K60" i="11" s="1"/>
  <c r="BD60" i="9"/>
  <c r="BE60" i="9" s="1"/>
  <c r="BO64" i="9"/>
  <c r="BP64" i="9" s="1"/>
  <c r="K64" i="11" s="1"/>
  <c r="BD64" i="9"/>
  <c r="BE64" i="9" s="1"/>
  <c r="BO59" i="9"/>
  <c r="BP59" i="9" s="1"/>
  <c r="K59" i="11" s="1"/>
  <c r="BD59" i="9"/>
  <c r="BE59" i="9" s="1"/>
  <c r="BO103" i="9"/>
  <c r="BP103" i="9" s="1"/>
  <c r="K103" i="11" s="1"/>
  <c r="BD103" i="9"/>
  <c r="BE103" i="9" s="1"/>
  <c r="BO75" i="9"/>
  <c r="BP75" i="9" s="1"/>
  <c r="K75" i="11" s="1"/>
  <c r="BD75" i="9"/>
  <c r="BE75" i="9" s="1"/>
  <c r="BO71" i="9"/>
  <c r="BP71" i="9" s="1"/>
  <c r="K71" i="11" s="1"/>
  <c r="BD71" i="9"/>
  <c r="BE71" i="9" s="1"/>
  <c r="BD87" i="9"/>
  <c r="BE87" i="9" s="1"/>
  <c r="BO87" i="9"/>
  <c r="BP87" i="9" s="1"/>
  <c r="K87" i="11" s="1"/>
  <c r="BD101" i="9"/>
  <c r="BE101" i="9" s="1"/>
  <c r="BO101" i="9"/>
  <c r="BP101" i="9" s="1"/>
  <c r="K101" i="11" s="1"/>
  <c r="BD14" i="9"/>
  <c r="BE14" i="9" s="1"/>
  <c r="BO14" i="9"/>
  <c r="BP14" i="9" s="1"/>
  <c r="K14" i="11" s="1"/>
  <c r="BD76" i="9"/>
  <c r="BE76" i="9" s="1"/>
  <c r="BO76" i="9"/>
  <c r="BP76" i="9" s="1"/>
  <c r="K76" i="11" s="1"/>
  <c r="BO92" i="9"/>
  <c r="BP92" i="9" s="1"/>
  <c r="K92" i="11" s="1"/>
  <c r="BD92" i="9"/>
  <c r="BE92" i="9" s="1"/>
  <c r="BO57" i="9"/>
  <c r="BP57" i="9" s="1"/>
  <c r="K57" i="11" s="1"/>
  <c r="BD57" i="9"/>
  <c r="BE57" i="9" s="1"/>
  <c r="BD19" i="9"/>
  <c r="BE19" i="9" s="1"/>
  <c r="BO19" i="9"/>
  <c r="BP19" i="9" s="1"/>
  <c r="K19" i="11" s="1"/>
  <c r="BO53" i="9"/>
  <c r="BP53" i="9" s="1"/>
  <c r="K53" i="11" s="1"/>
  <c r="BD53" i="9"/>
  <c r="BE53" i="9" s="1"/>
  <c r="BF52" i="9"/>
  <c r="G52" i="11" s="1"/>
  <c r="BH52" i="9"/>
  <c r="F52" i="11" s="1"/>
  <c r="BG52" i="9"/>
  <c r="E52" i="11" s="1"/>
  <c r="BO27" i="9"/>
  <c r="BP27" i="9" s="1"/>
  <c r="K27" i="11" s="1"/>
  <c r="BD27" i="9"/>
  <c r="BE27" i="9" s="1"/>
  <c r="BO63" i="9"/>
  <c r="BP63" i="9" s="1"/>
  <c r="K63" i="11" s="1"/>
  <c r="BD63" i="9"/>
  <c r="BE63" i="9" s="1"/>
  <c r="BO38" i="9"/>
  <c r="BP38" i="9" s="1"/>
  <c r="K38" i="11" s="1"/>
  <c r="BD38" i="9"/>
  <c r="BE38" i="9" s="1"/>
  <c r="BO18" i="9"/>
  <c r="BP18" i="9" s="1"/>
  <c r="K18" i="11" s="1"/>
  <c r="BD18" i="9"/>
  <c r="BE18" i="9" s="1"/>
  <c r="BO78" i="9"/>
  <c r="BP78" i="9" s="1"/>
  <c r="K78" i="11" s="1"/>
  <c r="BD78" i="9"/>
  <c r="BE78" i="9" s="1"/>
  <c r="BO49" i="9"/>
  <c r="BP49" i="9" s="1"/>
  <c r="K49" i="11" s="1"/>
  <c r="BD49" i="9"/>
  <c r="BE49" i="9" s="1"/>
  <c r="BD44" i="9"/>
  <c r="BE44" i="9" s="1"/>
  <c r="BO44" i="9"/>
  <c r="BP44" i="9" s="1"/>
  <c r="K44" i="11" s="1"/>
  <c r="BD84" i="9"/>
  <c r="BE84" i="9" s="1"/>
  <c r="BO84" i="9"/>
  <c r="BP84" i="9" s="1"/>
  <c r="K84" i="11" s="1"/>
  <c r="BD24" i="9"/>
  <c r="BE24" i="9" s="1"/>
  <c r="BO24" i="9"/>
  <c r="BP24" i="9" s="1"/>
  <c r="K24" i="11" s="1"/>
  <c r="BD105" i="9"/>
  <c r="BE105" i="9" s="1"/>
  <c r="BO105" i="9"/>
  <c r="BP105" i="9" s="1"/>
  <c r="K105" i="11" s="1"/>
  <c r="BO31" i="9"/>
  <c r="BP31" i="9" s="1"/>
  <c r="K31" i="11" s="1"/>
  <c r="BD31" i="9"/>
  <c r="BE31" i="9" s="1"/>
  <c r="BO42" i="9"/>
  <c r="BP42" i="9" s="1"/>
  <c r="K42" i="11" s="1"/>
  <c r="BD42" i="9"/>
  <c r="BE42" i="9" s="1"/>
  <c r="BD30" i="9"/>
  <c r="BE30" i="9" s="1"/>
  <c r="BO30" i="9"/>
  <c r="BP30" i="9" s="1"/>
  <c r="K30" i="11" s="1"/>
  <c r="BO62" i="9"/>
  <c r="BP62" i="9" s="1"/>
  <c r="K62" i="11" s="1"/>
  <c r="BD62" i="9"/>
  <c r="BE62" i="9" s="1"/>
  <c r="BO96" i="9"/>
  <c r="BP96" i="9" s="1"/>
  <c r="K96" i="11" s="1"/>
  <c r="BD96" i="9"/>
  <c r="BE96" i="9" s="1"/>
  <c r="BO65" i="9"/>
  <c r="BP65" i="9" s="1"/>
  <c r="K65" i="11" s="1"/>
  <c r="BD65" i="9"/>
  <c r="BE65" i="9" s="1"/>
  <c r="BD21" i="9"/>
  <c r="BE21" i="9" s="1"/>
  <c r="BO21" i="9"/>
  <c r="BP21" i="9" s="1"/>
  <c r="K21" i="11" s="1"/>
  <c r="BO16" i="9"/>
  <c r="BP16" i="9" s="1"/>
  <c r="K16" i="11" s="1"/>
  <c r="BD16" i="9"/>
  <c r="BE16" i="9" s="1"/>
  <c r="BO72" i="9"/>
  <c r="BP72" i="9" s="1"/>
  <c r="K72" i="11" s="1"/>
  <c r="BD72" i="9"/>
  <c r="BE72" i="9" s="1"/>
  <c r="BD97" i="9"/>
  <c r="BE97" i="9" s="1"/>
  <c r="BO97" i="9"/>
  <c r="BP97" i="9" s="1"/>
  <c r="K97" i="11" s="1"/>
  <c r="BD10" i="9"/>
  <c r="BE10" i="9" s="1"/>
  <c r="BO10" i="9"/>
  <c r="BP10" i="9" s="1"/>
  <c r="K10" i="11" s="1"/>
  <c r="BO50" i="9"/>
  <c r="BP50" i="9" s="1"/>
  <c r="K50" i="11" s="1"/>
  <c r="BD50" i="9"/>
  <c r="BE50" i="9" s="1"/>
  <c r="BO67" i="9"/>
  <c r="BP67" i="9" s="1"/>
  <c r="K67" i="11" s="1"/>
  <c r="BD67" i="9"/>
  <c r="BE67" i="9" s="1"/>
  <c r="BH98" i="9"/>
  <c r="F98" i="11" s="1"/>
  <c r="BF98" i="9"/>
  <c r="BG98" i="9"/>
  <c r="E98" i="11" s="1"/>
  <c r="BF6" i="9"/>
  <c r="G6" i="11" s="1"/>
  <c r="BH6" i="9"/>
  <c r="F6" i="11" s="1"/>
  <c r="BG6" i="9"/>
  <c r="E6" i="11" s="1"/>
  <c r="BD33" i="9"/>
  <c r="BE33" i="9" s="1"/>
  <c r="BO33" i="9"/>
  <c r="BP33" i="9" s="1"/>
  <c r="K33" i="11" s="1"/>
  <c r="G86" i="11" l="1"/>
  <c r="G69" i="11"/>
  <c r="AY88" i="9"/>
  <c r="BD88" i="9" s="1"/>
  <c r="BE88" i="9" s="1"/>
  <c r="BG88" i="9" s="1"/>
  <c r="E88" i="11" s="1"/>
  <c r="G34" i="11"/>
  <c r="AY43" i="9"/>
  <c r="BD43" i="9" s="1"/>
  <c r="BE43" i="9" s="1"/>
  <c r="BG43" i="9" s="1"/>
  <c r="E43" i="11" s="1"/>
  <c r="G20" i="11"/>
  <c r="BH99" i="9"/>
  <c r="F99" i="11" s="1"/>
  <c r="BF99" i="9"/>
  <c r="G99" i="11" s="1"/>
  <c r="BO15" i="9"/>
  <c r="BP15" i="9" s="1"/>
  <c r="K15" i="11" s="1"/>
  <c r="G15" i="11" s="1"/>
  <c r="BO35" i="9"/>
  <c r="BP35" i="9" s="1"/>
  <c r="K35" i="11" s="1"/>
  <c r="BO93" i="9"/>
  <c r="BP93" i="9" s="1"/>
  <c r="K93" i="11" s="1"/>
  <c r="BO58" i="9"/>
  <c r="BP58" i="9" s="1"/>
  <c r="K58" i="11" s="1"/>
  <c r="BO45" i="9"/>
  <c r="BP45" i="9" s="1"/>
  <c r="K45" i="11" s="1"/>
  <c r="BG34" i="9"/>
  <c r="E34" i="11" s="1"/>
  <c r="BO7" i="9"/>
  <c r="BP7" i="9" s="1"/>
  <c r="K7" i="11" s="1"/>
  <c r="AY61" i="9"/>
  <c r="BD61" i="9" s="1"/>
  <c r="BE61" i="9" s="1"/>
  <c r="BG61" i="9" s="1"/>
  <c r="E61" i="11" s="1"/>
  <c r="BO23" i="9"/>
  <c r="BP23" i="9" s="1"/>
  <c r="K23" i="11" s="1"/>
  <c r="AY81" i="9"/>
  <c r="BD81" i="9" s="1"/>
  <c r="BE81" i="9" s="1"/>
  <c r="BH81" i="9" s="1"/>
  <c r="F81" i="11" s="1"/>
  <c r="BG68" i="9"/>
  <c r="E68" i="11" s="1"/>
  <c r="BO66" i="9"/>
  <c r="BP66" i="9" s="1"/>
  <c r="K66" i="11" s="1"/>
  <c r="G66" i="11" s="1"/>
  <c r="BF102" i="9"/>
  <c r="G102" i="11" s="1"/>
  <c r="BG102" i="9"/>
  <c r="E102" i="11" s="1"/>
  <c r="BF68" i="9"/>
  <c r="G68" i="11" s="1"/>
  <c r="BH34" i="9"/>
  <c r="F34" i="11" s="1"/>
  <c r="BO77" i="9"/>
  <c r="BP77" i="9" s="1"/>
  <c r="K77" i="11" s="1"/>
  <c r="BH69" i="9"/>
  <c r="F69" i="11" s="1"/>
  <c r="G28" i="11"/>
  <c r="BF47" i="9"/>
  <c r="G47" i="11" s="1"/>
  <c r="AY22" i="9"/>
  <c r="BD22" i="9" s="1"/>
  <c r="BE22" i="9" s="1"/>
  <c r="BH22" i="9" s="1"/>
  <c r="F22" i="11" s="1"/>
  <c r="BG69" i="9"/>
  <c r="E69" i="11" s="1"/>
  <c r="BH12" i="9"/>
  <c r="F12" i="11" s="1"/>
  <c r="BG12" i="9"/>
  <c r="E12" i="11" s="1"/>
  <c r="BG40" i="9"/>
  <c r="E40" i="11" s="1"/>
  <c r="BF40" i="9"/>
  <c r="G40" i="11" s="1"/>
  <c r="BG47" i="9"/>
  <c r="E47" i="11" s="1"/>
  <c r="BH40" i="9"/>
  <c r="F40" i="11" s="1"/>
  <c r="BH93" i="9"/>
  <c r="F93" i="11" s="1"/>
  <c r="BF93" i="9"/>
  <c r="BH11" i="9"/>
  <c r="F11" i="11" s="1"/>
  <c r="BF11" i="9"/>
  <c r="G11" i="11" s="1"/>
  <c r="BG11" i="9"/>
  <c r="E11" i="11" s="1"/>
  <c r="BF5" i="9"/>
  <c r="G5" i="11" s="1"/>
  <c r="BG5" i="9"/>
  <c r="E5" i="11" s="1"/>
  <c r="BH5" i="9"/>
  <c r="F5" i="11" s="1"/>
  <c r="BF70" i="9"/>
  <c r="G70" i="11" s="1"/>
  <c r="BG70" i="9"/>
  <c r="E70" i="11" s="1"/>
  <c r="BF48" i="9"/>
  <c r="G48" i="11" s="1"/>
  <c r="BH48" i="9"/>
  <c r="F48" i="11" s="1"/>
  <c r="BH58" i="9"/>
  <c r="F58" i="11" s="1"/>
  <c r="BF58" i="9"/>
  <c r="BG58" i="9"/>
  <c r="E58" i="11" s="1"/>
  <c r="BH37" i="9"/>
  <c r="F37" i="11" s="1"/>
  <c r="BG37" i="9"/>
  <c r="E37" i="11" s="1"/>
  <c r="BF37" i="9"/>
  <c r="G37" i="11" s="1"/>
  <c r="BH23" i="9"/>
  <c r="F23" i="11" s="1"/>
  <c r="BF23" i="9"/>
  <c r="BG23" i="9"/>
  <c r="E23" i="11" s="1"/>
  <c r="BG66" i="9"/>
  <c r="E66" i="11" s="1"/>
  <c r="BH66" i="9"/>
  <c r="F66" i="11" s="1"/>
  <c r="AY54" i="9"/>
  <c r="BD54" i="9" s="1"/>
  <c r="BE54" i="9" s="1"/>
  <c r="BG93" i="9"/>
  <c r="E93" i="11" s="1"/>
  <c r="G98" i="11"/>
  <c r="BG48" i="9"/>
  <c r="E48" i="11" s="1"/>
  <c r="BH70" i="9"/>
  <c r="F70" i="11" s="1"/>
  <c r="BO54" i="9"/>
  <c r="BP54" i="9" s="1"/>
  <c r="K54" i="11" s="1"/>
  <c r="G8" i="11"/>
  <c r="BG83" i="9"/>
  <c r="E83" i="11" s="1"/>
  <c r="BH83" i="9"/>
  <c r="F83" i="11" s="1"/>
  <c r="BO9" i="9"/>
  <c r="BP9" i="9" s="1"/>
  <c r="K9" i="11" s="1"/>
  <c r="BD9" i="9"/>
  <c r="BE9" i="9" s="1"/>
  <c r="BF83" i="9"/>
  <c r="G83" i="11" s="1"/>
  <c r="BO100" i="9"/>
  <c r="BP100" i="9" s="1"/>
  <c r="K100" i="11" s="1"/>
  <c r="BD100" i="9"/>
  <c r="BE100" i="9" s="1"/>
  <c r="BF7" i="9"/>
  <c r="BG7" i="9"/>
  <c r="E7" i="11" s="1"/>
  <c r="BH15" i="9"/>
  <c r="F15" i="11" s="1"/>
  <c r="BG15" i="9"/>
  <c r="E15" i="11" s="1"/>
  <c r="BF91" i="9"/>
  <c r="G91" i="11" s="1"/>
  <c r="BG91" i="9"/>
  <c r="E91" i="11" s="1"/>
  <c r="BF79" i="9"/>
  <c r="G79" i="11" s="1"/>
  <c r="BG79" i="9"/>
  <c r="E79" i="11" s="1"/>
  <c r="BH79" i="9"/>
  <c r="F79" i="11" s="1"/>
  <c r="BH17" i="9"/>
  <c r="F17" i="11" s="1"/>
  <c r="BG17" i="9"/>
  <c r="E17" i="11" s="1"/>
  <c r="BF17" i="9"/>
  <c r="G17" i="11" s="1"/>
  <c r="BH41" i="9"/>
  <c r="F41" i="11" s="1"/>
  <c r="BG41" i="9"/>
  <c r="E41" i="11" s="1"/>
  <c r="BF41" i="9"/>
  <c r="G41" i="11" s="1"/>
  <c r="BF35" i="9"/>
  <c r="BH35" i="9"/>
  <c r="F35" i="11" s="1"/>
  <c r="BG35" i="9"/>
  <c r="E35" i="11" s="1"/>
  <c r="BF74" i="9"/>
  <c r="G74" i="11" s="1"/>
  <c r="BG74" i="9"/>
  <c r="E74" i="11" s="1"/>
  <c r="BH74" i="9"/>
  <c r="F74" i="11" s="1"/>
  <c r="BH77" i="9"/>
  <c r="F77" i="11" s="1"/>
  <c r="BG77" i="9"/>
  <c r="E77" i="11" s="1"/>
  <c r="BF77" i="9"/>
  <c r="BG90" i="9"/>
  <c r="E90" i="11" s="1"/>
  <c r="BF90" i="9"/>
  <c r="G90" i="11" s="1"/>
  <c r="BH90" i="9"/>
  <c r="F90" i="11" s="1"/>
  <c r="BH32" i="9"/>
  <c r="F32" i="11" s="1"/>
  <c r="BG32" i="9"/>
  <c r="E32" i="11" s="1"/>
  <c r="BF32" i="9"/>
  <c r="G32" i="11" s="1"/>
  <c r="BH45" i="9"/>
  <c r="F45" i="11" s="1"/>
  <c r="BF45" i="9"/>
  <c r="BG45" i="9"/>
  <c r="E45" i="11" s="1"/>
  <c r="BH26" i="9"/>
  <c r="F26" i="11" s="1"/>
  <c r="BF26" i="9"/>
  <c r="G26" i="11" s="1"/>
  <c r="BG26" i="9"/>
  <c r="E26" i="11" s="1"/>
  <c r="BF13" i="9"/>
  <c r="G13" i="11" s="1"/>
  <c r="BG13" i="9"/>
  <c r="E13" i="11" s="1"/>
  <c r="BH13" i="9"/>
  <c r="F13" i="11" s="1"/>
  <c r="BG85" i="9"/>
  <c r="E85" i="11" s="1"/>
  <c r="BF85" i="9"/>
  <c r="G85" i="11" s="1"/>
  <c r="BH85" i="9"/>
  <c r="F85" i="11" s="1"/>
  <c r="BH80" i="9"/>
  <c r="F80" i="11" s="1"/>
  <c r="BG80" i="9"/>
  <c r="E80" i="11" s="1"/>
  <c r="BF80" i="9"/>
  <c r="G80" i="11" s="1"/>
  <c r="BH36" i="9"/>
  <c r="F36" i="11" s="1"/>
  <c r="BF36" i="9"/>
  <c r="G36" i="11" s="1"/>
  <c r="BG36" i="9"/>
  <c r="E36" i="11" s="1"/>
  <c r="BG10" i="9"/>
  <c r="E10" i="11" s="1"/>
  <c r="BF10" i="9"/>
  <c r="G10" i="11" s="1"/>
  <c r="BH10" i="9"/>
  <c r="F10" i="11" s="1"/>
  <c r="BF16" i="9"/>
  <c r="G16" i="11" s="1"/>
  <c r="BH16" i="9"/>
  <c r="F16" i="11" s="1"/>
  <c r="BG16" i="9"/>
  <c r="E16" i="11" s="1"/>
  <c r="BF62" i="9"/>
  <c r="G62" i="11" s="1"/>
  <c r="BG62" i="9"/>
  <c r="E62" i="11" s="1"/>
  <c r="BH62" i="9"/>
  <c r="F62" i="11" s="1"/>
  <c r="BF49" i="9"/>
  <c r="G49" i="11" s="1"/>
  <c r="BH49" i="9"/>
  <c r="F49" i="11" s="1"/>
  <c r="BG49" i="9"/>
  <c r="E49" i="11" s="1"/>
  <c r="BH63" i="9"/>
  <c r="F63" i="11" s="1"/>
  <c r="BG63" i="9"/>
  <c r="E63" i="11" s="1"/>
  <c r="BF63" i="9"/>
  <c r="G63" i="11" s="1"/>
  <c r="BF76" i="9"/>
  <c r="G76" i="11" s="1"/>
  <c r="BG76" i="9"/>
  <c r="E76" i="11" s="1"/>
  <c r="BH76" i="9"/>
  <c r="F76" i="11" s="1"/>
  <c r="BH46" i="9"/>
  <c r="F46" i="11" s="1"/>
  <c r="BF46" i="9"/>
  <c r="G46" i="11" s="1"/>
  <c r="BG46" i="9"/>
  <c r="E46" i="11" s="1"/>
  <c r="BF89" i="9"/>
  <c r="G89" i="11" s="1"/>
  <c r="BG89" i="9"/>
  <c r="E89" i="11" s="1"/>
  <c r="BH89" i="9"/>
  <c r="F89" i="11" s="1"/>
  <c r="BF105" i="9"/>
  <c r="G105" i="11" s="1"/>
  <c r="BH105" i="9"/>
  <c r="F105" i="11" s="1"/>
  <c r="BG105" i="9"/>
  <c r="E105" i="11" s="1"/>
  <c r="BF75" i="9"/>
  <c r="G75" i="11" s="1"/>
  <c r="BG75" i="9"/>
  <c r="E75" i="11" s="1"/>
  <c r="BH75" i="9"/>
  <c r="F75" i="11" s="1"/>
  <c r="BH60" i="9"/>
  <c r="F60" i="11" s="1"/>
  <c r="BG60" i="9"/>
  <c r="E60" i="11" s="1"/>
  <c r="BF60" i="9"/>
  <c r="G60" i="11" s="1"/>
  <c r="BH53" i="9"/>
  <c r="F53" i="11" s="1"/>
  <c r="BF53" i="9"/>
  <c r="G53" i="11" s="1"/>
  <c r="BG53" i="9"/>
  <c r="E53" i="11" s="1"/>
  <c r="BG97" i="9"/>
  <c r="E97" i="11" s="1"/>
  <c r="BH97" i="9"/>
  <c r="F97" i="11" s="1"/>
  <c r="BF97" i="9"/>
  <c r="G97" i="11" s="1"/>
  <c r="BF19" i="9"/>
  <c r="G19" i="11" s="1"/>
  <c r="BG19" i="9"/>
  <c r="E19" i="11" s="1"/>
  <c r="BH19" i="9"/>
  <c r="F19" i="11" s="1"/>
  <c r="BH21" i="9"/>
  <c r="F21" i="11" s="1"/>
  <c r="BG21" i="9"/>
  <c r="E21" i="11" s="1"/>
  <c r="BF21" i="9"/>
  <c r="G21" i="11" s="1"/>
  <c r="BH24" i="9"/>
  <c r="F24" i="11" s="1"/>
  <c r="BG24" i="9"/>
  <c r="E24" i="11" s="1"/>
  <c r="BF24" i="9"/>
  <c r="G24" i="11" s="1"/>
  <c r="BG57" i="9"/>
  <c r="E57" i="11" s="1"/>
  <c r="BH57" i="9"/>
  <c r="F57" i="11" s="1"/>
  <c r="BF57" i="9"/>
  <c r="G57" i="11" s="1"/>
  <c r="BH103" i="9"/>
  <c r="F103" i="11" s="1"/>
  <c r="BF103" i="9"/>
  <c r="G103" i="11" s="1"/>
  <c r="BG103" i="9"/>
  <c r="E103" i="11" s="1"/>
  <c r="BF104" i="9"/>
  <c r="G104" i="11" s="1"/>
  <c r="BG104" i="9"/>
  <c r="E104" i="11" s="1"/>
  <c r="BH104" i="9"/>
  <c r="F104" i="11" s="1"/>
  <c r="BF33" i="9"/>
  <c r="G33" i="11" s="1"/>
  <c r="BH33" i="9"/>
  <c r="F33" i="11" s="1"/>
  <c r="BG33" i="9"/>
  <c r="E33" i="11" s="1"/>
  <c r="BH65" i="9"/>
  <c r="F65" i="11" s="1"/>
  <c r="BG65" i="9"/>
  <c r="E65" i="11" s="1"/>
  <c r="BF65" i="9"/>
  <c r="G65" i="11" s="1"/>
  <c r="BG42" i="9"/>
  <c r="E42" i="11" s="1"/>
  <c r="BH42" i="9"/>
  <c r="F42" i="11" s="1"/>
  <c r="BF42" i="9"/>
  <c r="G42" i="11" s="1"/>
  <c r="BG18" i="9"/>
  <c r="E18" i="11" s="1"/>
  <c r="BH18" i="9"/>
  <c r="F18" i="11" s="1"/>
  <c r="BF18" i="9"/>
  <c r="G18" i="11" s="1"/>
  <c r="BH101" i="9"/>
  <c r="F101" i="11" s="1"/>
  <c r="BF101" i="9"/>
  <c r="G101" i="11" s="1"/>
  <c r="BG101" i="9"/>
  <c r="E101" i="11" s="1"/>
  <c r="BG44" i="9"/>
  <c r="E44" i="11" s="1"/>
  <c r="BF44" i="9"/>
  <c r="G44" i="11" s="1"/>
  <c r="BH44" i="9"/>
  <c r="F44" i="11" s="1"/>
  <c r="BF71" i="9"/>
  <c r="G71" i="11" s="1"/>
  <c r="BH71" i="9"/>
  <c r="F71" i="11" s="1"/>
  <c r="BG71" i="9"/>
  <c r="E71" i="11" s="1"/>
  <c r="BH27" i="9"/>
  <c r="F27" i="11" s="1"/>
  <c r="BF27" i="9"/>
  <c r="G27" i="11" s="1"/>
  <c r="BG27" i="9"/>
  <c r="E27" i="11" s="1"/>
  <c r="BH14" i="9"/>
  <c r="F14" i="11" s="1"/>
  <c r="BG14" i="9"/>
  <c r="E14" i="11" s="1"/>
  <c r="BF14" i="9"/>
  <c r="G14" i="11" s="1"/>
  <c r="BF106" i="9"/>
  <c r="G106" i="11" s="1"/>
  <c r="BH106" i="9"/>
  <c r="F106" i="11" s="1"/>
  <c r="BG106" i="9"/>
  <c r="E106" i="11" s="1"/>
  <c r="BF67" i="9"/>
  <c r="G67" i="11" s="1"/>
  <c r="BG67" i="9"/>
  <c r="E67" i="11" s="1"/>
  <c r="BH67" i="9"/>
  <c r="F67" i="11" s="1"/>
  <c r="BH30" i="9"/>
  <c r="F30" i="11" s="1"/>
  <c r="BG30" i="9"/>
  <c r="E30" i="11" s="1"/>
  <c r="BF30" i="9"/>
  <c r="G30" i="11" s="1"/>
  <c r="BG50" i="9"/>
  <c r="E50" i="11" s="1"/>
  <c r="BF50" i="9"/>
  <c r="G50" i="11" s="1"/>
  <c r="BH50" i="9"/>
  <c r="F50" i="11" s="1"/>
  <c r="BH84" i="9"/>
  <c r="F84" i="11" s="1"/>
  <c r="BG84" i="9"/>
  <c r="E84" i="11" s="1"/>
  <c r="BF84" i="9"/>
  <c r="G84" i="11" s="1"/>
  <c r="BF92" i="9"/>
  <c r="G92" i="11" s="1"/>
  <c r="BH92" i="9"/>
  <c r="F92" i="11" s="1"/>
  <c r="BG92" i="9"/>
  <c r="E92" i="11" s="1"/>
  <c r="BF59" i="9"/>
  <c r="G59" i="11" s="1"/>
  <c r="BH59" i="9"/>
  <c r="F59" i="11" s="1"/>
  <c r="BG59" i="9"/>
  <c r="E59" i="11" s="1"/>
  <c r="BF25" i="9"/>
  <c r="G25" i="11" s="1"/>
  <c r="BH25" i="9"/>
  <c r="F25" i="11" s="1"/>
  <c r="BG25" i="9"/>
  <c r="E25" i="11" s="1"/>
  <c r="BF64" i="9"/>
  <c r="G64" i="11" s="1"/>
  <c r="BH64" i="9"/>
  <c r="F64" i="11" s="1"/>
  <c r="BG64" i="9"/>
  <c r="E64" i="11" s="1"/>
  <c r="BF78" i="9"/>
  <c r="G78" i="11" s="1"/>
  <c r="BG78" i="9"/>
  <c r="E78" i="11" s="1"/>
  <c r="BH78" i="9"/>
  <c r="F78" i="11" s="1"/>
  <c r="BG72" i="9"/>
  <c r="E72" i="11" s="1"/>
  <c r="BF72" i="9"/>
  <c r="G72" i="11" s="1"/>
  <c r="BH72" i="9"/>
  <c r="F72" i="11" s="1"/>
  <c r="BG96" i="9"/>
  <c r="E96" i="11" s="1"/>
  <c r="BH96" i="9"/>
  <c r="F96" i="11" s="1"/>
  <c r="BF96" i="9"/>
  <c r="G96" i="11" s="1"/>
  <c r="BH31" i="9"/>
  <c r="F31" i="11" s="1"/>
  <c r="BG31" i="9"/>
  <c r="E31" i="11" s="1"/>
  <c r="BF31" i="9"/>
  <c r="G31" i="11" s="1"/>
  <c r="BH38" i="9"/>
  <c r="F38" i="11" s="1"/>
  <c r="BF38" i="9"/>
  <c r="G38" i="11" s="1"/>
  <c r="BG38" i="9"/>
  <c r="E38" i="11" s="1"/>
  <c r="BH87" i="9"/>
  <c r="F87" i="11" s="1"/>
  <c r="BF87" i="9"/>
  <c r="G87" i="11" s="1"/>
  <c r="BG87" i="9"/>
  <c r="E87" i="11" s="1"/>
  <c r="BF55" i="9"/>
  <c r="G55" i="11" s="1"/>
  <c r="BH55" i="9"/>
  <c r="F55" i="11" s="1"/>
  <c r="BG55" i="9"/>
  <c r="E55" i="11" s="1"/>
  <c r="BH73" i="9"/>
  <c r="F73" i="11" s="1"/>
  <c r="BF73" i="9"/>
  <c r="G73" i="11" s="1"/>
  <c r="BG73" i="9"/>
  <c r="E73" i="11" s="1"/>
  <c r="BH88" i="9" l="1"/>
  <c r="F88" i="11" s="1"/>
  <c r="BF88" i="9"/>
  <c r="G88" i="11" s="1"/>
  <c r="G45" i="11"/>
  <c r="G35" i="11"/>
  <c r="G93" i="11"/>
  <c r="G7" i="11"/>
  <c r="G58" i="11"/>
  <c r="G77" i="11"/>
  <c r="G23" i="11"/>
  <c r="BF43" i="9"/>
  <c r="G43" i="11" s="1"/>
  <c r="BH43" i="9"/>
  <c r="F43" i="11" s="1"/>
  <c r="BF61" i="9"/>
  <c r="G61" i="11" s="1"/>
  <c r="BF81" i="9"/>
  <c r="G81" i="11" s="1"/>
  <c r="BH61" i="9"/>
  <c r="F61" i="11" s="1"/>
  <c r="BG81" i="9"/>
  <c r="E81" i="11" s="1"/>
  <c r="BG22" i="9"/>
  <c r="E22" i="11" s="1"/>
  <c r="BF22" i="9"/>
  <c r="G22" i="11" s="1"/>
  <c r="BF54" i="9"/>
  <c r="G54" i="11" s="1"/>
  <c r="BG54" i="9"/>
  <c r="E54" i="11" s="1"/>
  <c r="BH54" i="9"/>
  <c r="F54" i="11" s="1"/>
  <c r="BH100" i="9"/>
  <c r="F100" i="11" s="1"/>
  <c r="BF100" i="9"/>
  <c r="G100" i="11" s="1"/>
  <c r="BG100" i="9"/>
  <c r="E100" i="11" s="1"/>
  <c r="BG9" i="9"/>
  <c r="E9" i="11" s="1"/>
  <c r="BF9" i="9"/>
  <c r="G9" i="11" s="1"/>
  <c r="BH9" i="9"/>
  <c r="F9"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 authorId="0" shapeId="0" xr:uid="{00000000-0006-0000-0000-000001000000}">
      <text>
        <r>
          <rPr>
            <sz val="11"/>
            <color indexed="81"/>
            <rFont val="Tahoma"/>
            <family val="2"/>
          </rPr>
          <t xml:space="preserve">
</t>
        </r>
        <r>
          <rPr>
            <b/>
            <sz val="11"/>
            <color indexed="81"/>
            <rFont val="Tahoma"/>
            <family val="2"/>
          </rPr>
          <t>Keysight FieldFox Noise Figure Uncertainty Calculator</t>
        </r>
        <r>
          <rPr>
            <sz val="11"/>
            <color indexed="81"/>
            <rFont val="Tahoma"/>
            <family val="2"/>
          </rPr>
          <t xml:space="preserve">
</t>
        </r>
        <r>
          <rPr>
            <b/>
            <sz val="11"/>
            <color indexed="81"/>
            <rFont val="Tahoma"/>
            <family val="2"/>
          </rPr>
          <t>To use Calculator:</t>
        </r>
        <r>
          <rPr>
            <sz val="11"/>
            <color indexed="81"/>
            <rFont val="Tahoma"/>
            <family val="2"/>
          </rPr>
          <t xml:space="preserve">
1. Select FieldFox Model.
2. Choose DUT type.
3. Enter Frequency Range.
4. Enter DUT information.
5. Select or define Pre-Amplifier.
6. Select or define Noise Standard (Noise Source).
7. Set ENR uncertainty for the Noise Standard.
8. Confirm / Adjust confidence levels.
9. Set / Adjust measurement User Cal, Integration and Bandwidth settings.
10. Review results.
You may also use the information presented to adjust the test configuration and measurement settings to optimize your measurement.
Hover your mouse over "</t>
        </r>
        <r>
          <rPr>
            <i/>
            <sz val="14"/>
            <color indexed="40"/>
            <rFont val="cmmib8"/>
            <family val="2"/>
          </rPr>
          <t>i</t>
        </r>
        <r>
          <rPr>
            <sz val="11"/>
            <color indexed="81"/>
            <rFont val="Tahoma"/>
            <family val="2"/>
          </rPr>
          <t>" symbols on the sheet for more information.</t>
        </r>
        <r>
          <rPr>
            <b/>
            <sz val="11"/>
            <color indexed="81"/>
            <rFont val="Tahoma"/>
            <family val="2"/>
          </rPr>
          <t xml:space="preserve">
</t>
        </r>
      </text>
    </comment>
    <comment ref="F7" authorId="0" shapeId="0" xr:uid="{00000000-0006-0000-0000-000002000000}">
      <text>
        <r>
          <rPr>
            <sz val="11"/>
            <color indexed="81"/>
            <rFont val="Tahoma"/>
            <family val="2"/>
          </rPr>
          <t xml:space="preserve">
</t>
        </r>
        <r>
          <rPr>
            <b/>
            <sz val="11"/>
            <color indexed="81"/>
            <rFont val="Tahoma"/>
            <family val="2"/>
          </rPr>
          <t>Compression Bandwidth:</t>
        </r>
        <r>
          <rPr>
            <sz val="11"/>
            <color indexed="81"/>
            <rFont val="Tahoma"/>
            <family val="2"/>
          </rPr>
          <t xml:space="preserve">
Enter the bandwidth (in GHz) over which the DUT has gain, even if the measurement frequency range does not span this bandwidth.
In noise power measurements, the total power depends upon effective temperature, gain and bandwidth.  Compression can occur when the DUT and preamplifier both have gain over wide bandwidths.  The calculator attempts to predict these conditions by calculating the output power of the preamplifier, using the entered gain values for the DUT and preamplifier, the noise temperature of the "Hot" noise standard, and the Compression Bandwidth, entered here. </t>
        </r>
        <r>
          <rPr>
            <b/>
            <sz val="11"/>
            <color indexed="81"/>
            <rFont val="Tahoma"/>
            <family val="2"/>
          </rPr>
          <t xml:space="preserve"> </t>
        </r>
        <r>
          <rPr>
            <sz val="11"/>
            <color indexed="81"/>
            <rFont val="Tahoma"/>
            <family val="2"/>
          </rPr>
          <t xml:space="preserve">
</t>
        </r>
      </text>
    </comment>
    <comment ref="F9" authorId="0" shapeId="0" xr:uid="{00000000-0006-0000-0000-000003000000}">
      <text>
        <r>
          <rPr>
            <sz val="11"/>
            <color indexed="81"/>
            <rFont val="Tahoma"/>
            <family val="2"/>
          </rPr>
          <t xml:space="preserve">
</t>
        </r>
        <r>
          <rPr>
            <b/>
            <sz val="11"/>
            <color indexed="81"/>
            <rFont val="Tahoma"/>
            <family val="2"/>
          </rPr>
          <t>How to Enter DUT Data:</t>
        </r>
        <r>
          <rPr>
            <sz val="11"/>
            <color indexed="81"/>
            <rFont val="Tahoma"/>
            <family val="2"/>
          </rPr>
          <t xml:space="preserve">
The DUT parametric data may be entered as single "Spot" values, applied across the entire frequency range, or User Entered on a per-frequency basis.  Frequency dependent User Data is entered in the DUT sheet, accessed by selecting the DUT tab at the bottom of the spreadsheet.
Information used in analysis:
The uncertainty analysis uses the noise figure, gain, and input and output return loss of the DUT.  
</t>
        </r>
      </text>
    </comment>
    <comment ref="F14" authorId="0" shapeId="0" xr:uid="{00000000-0006-0000-0000-000004000000}">
      <text>
        <r>
          <rPr>
            <sz val="11"/>
            <color indexed="81"/>
            <rFont val="Tahoma"/>
            <family val="2"/>
          </rPr>
          <t xml:space="preserve">
</t>
        </r>
        <r>
          <rPr>
            <b/>
            <sz val="11"/>
            <color indexed="81"/>
            <rFont val="Tahoma"/>
            <family val="2"/>
          </rPr>
          <t>How to Enter Preamp Data:</t>
        </r>
        <r>
          <rPr>
            <sz val="11"/>
            <color indexed="81"/>
            <rFont val="Tahoma"/>
            <family val="2"/>
          </rPr>
          <t xml:space="preserve">
The Uncertainty Calculator includes the specified parametric data for these Keysight Pre-Amplifiers:
                            Frequency                Noise                  Gain
                            Range (GHz)           Figure(dB)          (dB)
U7227/8 A            0.01-4                          5                      18 
U7227/8 C            0.1-26.5                       5                    16-23
U7227/8 F             2 - 50                        8-10                 16-28
In addition, Preamp data may be entered as single "Spot" values, applied across the entire frequency range or "User Entered" on a per-frequency basis.  Frequency dependent User Data is entered in the Preamp sheet, accessed by selecting the Preamp tab at the bottom of the spreadsheet.
</t>
        </r>
        <r>
          <rPr>
            <b/>
            <sz val="11"/>
            <color indexed="81"/>
            <rFont val="Tahoma"/>
            <family val="2"/>
          </rPr>
          <t xml:space="preserve">Use Preamp:  </t>
        </r>
        <r>
          <rPr>
            <sz val="11"/>
            <color indexed="81"/>
            <rFont val="Tahoma"/>
            <family val="2"/>
          </rPr>
          <t xml:space="preserve">Check this box if a preamp is used in the measurement.  Normally, whenever a preamp is used, the User Cal should also be used.
</t>
        </r>
        <r>
          <rPr>
            <b/>
            <sz val="11"/>
            <color indexed="81"/>
            <rFont val="Tahoma"/>
            <family val="2"/>
          </rPr>
          <t xml:space="preserve">Use User Cal: </t>
        </r>
        <r>
          <rPr>
            <sz val="11"/>
            <color indexed="81"/>
            <rFont val="Tahoma"/>
            <family val="2"/>
          </rPr>
          <t>Check this box if a user cal is used for the measurement, whether or not a preamp is used.  Note: The User Cal may increase the uncertainty of the measurement if used without a preamp.
Information used in analysis:
The uncertainty analysis uses the noise figure, gain, and input return loss of the Preamp.  
The preamp P1dB compression is used to determine whether the measurement may be compressed.  For more information on compression, see the Compression Bandwidth information display.</t>
        </r>
        <r>
          <rPr>
            <b/>
            <sz val="11"/>
            <color indexed="81"/>
            <rFont val="Tahoma"/>
            <family val="2"/>
          </rPr>
          <t xml:space="preserve">
</t>
        </r>
        <r>
          <rPr>
            <sz val="11"/>
            <color indexed="81"/>
            <rFont val="Tahoma"/>
            <family val="2"/>
          </rPr>
          <t xml:space="preserve">
</t>
        </r>
      </text>
    </comment>
    <comment ref="A22" authorId="0" shapeId="0" xr:uid="{00000000-0006-0000-0000-000005000000}">
      <text>
        <r>
          <rPr>
            <b/>
            <sz val="11"/>
            <color indexed="81"/>
            <rFont val="Tahoma"/>
            <family val="2"/>
          </rPr>
          <t xml:space="preserve">
How to Enter Noise Standard Data:
</t>
        </r>
        <r>
          <rPr>
            <sz val="11"/>
            <color indexed="81"/>
            <rFont val="Tahoma"/>
            <family val="2"/>
          </rPr>
          <t xml:space="preserve">
The Uncertainty Calculator includes specified values for ENR and reflection coefficient for several models of Keysight Noise Standards.  In addition, Noise Standard data may be entered as single "Spot" values, applied across the entire frequency range or User Entered on a per-frequency basis. 
Frequency dependent User Data is entered for the User Calibration noise standard in the "User Cal. Noise Std" sheet, and for the Measurement Noise standard in the "Meas Noise Std" sheet.  These are accessed by selecting the corresponding tabs at the bottom of the spreadsheet.  
If the measurement does not have a user calibration, the "Use User Cal" box should not be checked.  In this case, the user calibration data is not entered or used.
If the "Use the same Noise Standard for User Cal and Measurement" box is checked, the information entered for the Measurement Noise Standard is used for the User Cal noise standard.
</t>
        </r>
        <r>
          <rPr>
            <b/>
            <sz val="11"/>
            <color indexed="81"/>
            <rFont val="Tahoma"/>
            <family val="2"/>
          </rPr>
          <t xml:space="preserve">
</t>
        </r>
        <r>
          <rPr>
            <sz val="11"/>
            <color indexed="81"/>
            <rFont val="Tahoma"/>
            <family val="2"/>
          </rPr>
          <t xml:space="preserve">
</t>
        </r>
      </text>
    </comment>
    <comment ref="A30" authorId="0" shapeId="0" xr:uid="{00000000-0006-0000-0000-000006000000}">
      <text>
        <r>
          <rPr>
            <sz val="11"/>
            <color indexed="81"/>
            <rFont val="Tahoma"/>
            <family val="2"/>
          </rPr>
          <t>ENR Uncertainty may be entered in one of two ways:
1) As a single "</t>
        </r>
        <r>
          <rPr>
            <b/>
            <sz val="11"/>
            <color indexed="81"/>
            <rFont val="Tahoma"/>
            <family val="2"/>
          </rPr>
          <t>Spot Value</t>
        </r>
        <r>
          <rPr>
            <sz val="11"/>
            <color indexed="81"/>
            <rFont val="Tahoma"/>
            <family val="2"/>
          </rPr>
          <t>", which is entered here and applied across the entire frequency range.  When Spot Value is selected, this value is used for both the measurement and the calibration.
2) "</t>
        </r>
        <r>
          <rPr>
            <b/>
            <sz val="11"/>
            <color indexed="81"/>
            <rFont val="Tahoma"/>
            <family val="2"/>
          </rPr>
          <t>From Noise Source Sheets</t>
        </r>
        <r>
          <rPr>
            <sz val="11"/>
            <color indexed="81"/>
            <rFont val="Tahoma"/>
            <family val="2"/>
          </rPr>
          <t>" - Frequency dependent ENR uncertainty data is entered seperately for the Cal and Measurement Noise Standards.  The Cal noise standard data is entered on the "Cal Noise Std" sheet, and the DUT noise standard data is entered on the "DUT Noise Std sheet", accessed by selecting the corresponding tabs at the bottom of the spreadsheet.</t>
        </r>
      </text>
    </comment>
    <comment ref="C30" authorId="0" shapeId="0" xr:uid="{00000000-0006-0000-0000-000007000000}">
      <text>
        <r>
          <rPr>
            <sz val="11"/>
            <color indexed="81"/>
            <rFont val="Tahoma"/>
            <family val="2"/>
          </rPr>
          <t xml:space="preserve">
</t>
        </r>
        <r>
          <rPr>
            <b/>
            <sz val="11"/>
            <color indexed="81"/>
            <rFont val="Tahoma"/>
            <family val="2"/>
          </rPr>
          <t>Input Data Confidence:</t>
        </r>
        <r>
          <rPr>
            <sz val="11"/>
            <color indexed="81"/>
            <rFont val="Tahoma"/>
            <family val="2"/>
          </rPr>
          <t xml:space="preserve">
The Uncertainty Calculator calculates the overall uncertainty of the measurement by combining standard errors from multiple contributors using the process described in GUM.  The confidence with which the contributing terms are known is used as part of this analysis.  
ENR Uncertainty may be entered as a standard error (1 sd) , a 95% confidence value (2 sd) or a limiting value (3 sd).</t>
        </r>
        <r>
          <rPr>
            <b/>
            <sz val="11"/>
            <color indexed="81"/>
            <rFont val="Tahoma"/>
            <family val="2"/>
          </rPr>
          <t xml:space="preserve">
</t>
        </r>
        <r>
          <rPr>
            <sz val="11"/>
            <color indexed="81"/>
            <rFont val="Tahoma"/>
            <family val="2"/>
          </rPr>
          <t xml:space="preserve">
</t>
        </r>
      </text>
    </comment>
    <comment ref="E30" authorId="0" shapeId="0" xr:uid="{00000000-0006-0000-0000-000008000000}">
      <text>
        <r>
          <rPr>
            <b/>
            <sz val="11"/>
            <color indexed="81"/>
            <rFont val="Tahoma"/>
            <family val="2"/>
          </rPr>
          <t xml:space="preserve">
Report Confidence</t>
        </r>
        <r>
          <rPr>
            <sz val="11"/>
            <color indexed="81"/>
            <rFont val="Tahoma"/>
            <family val="2"/>
          </rPr>
          <t xml:space="preserve">
This sets the confidence level of the reported noise figure uncertainty in standard deviations.  A value of 2 corresponds to roughly 95% confidence.</t>
        </r>
        <r>
          <rPr>
            <b/>
            <sz val="11"/>
            <color indexed="81"/>
            <rFont val="Tahoma"/>
            <family val="2"/>
          </rPr>
          <t xml:space="preserve">
</t>
        </r>
        <r>
          <rPr>
            <sz val="11"/>
            <color indexed="81"/>
            <rFont val="Tahoma"/>
            <family val="2"/>
          </rPr>
          <t xml:space="preserve">
</t>
        </r>
      </text>
    </comment>
    <comment ref="A32" authorId="0" shapeId="0" xr:uid="{00000000-0006-0000-0000-000009000000}">
      <text>
        <r>
          <rPr>
            <b/>
            <sz val="11"/>
            <color indexed="81"/>
            <rFont val="Tahoma"/>
            <family val="2"/>
          </rPr>
          <t xml:space="preserve">Input Data Confidence:
</t>
        </r>
        <r>
          <rPr>
            <sz val="11"/>
            <color indexed="81"/>
            <rFont val="Tahoma"/>
            <family val="2"/>
          </rPr>
          <t>The Uncertainty Calculator calculates the overall uncertainty of the measurement by combining standard errors from multiple contributors using the process described in GUM.  The confidence with which the contributing terms are known is used as part of this analysis.  
Mismatch (|</t>
        </r>
        <r>
          <rPr>
            <sz val="11"/>
            <color indexed="81"/>
            <rFont val="Symbol"/>
            <family val="1"/>
            <charset val="2"/>
          </rPr>
          <t>G</t>
        </r>
        <r>
          <rPr>
            <sz val="11"/>
            <color indexed="81"/>
            <rFont val="Tahoma"/>
            <family val="2"/>
          </rPr>
          <t>|) term specifications policies can be highly varying.  The uncertainty calculator supports a wide variety of these by providing the Specification Style and Distribution settings for each device in the measurement.
Specification Style may be set to Maximum, 95th or 80th percentile, Mean, Median, or Fixed. Choose the style that reflects the nature of the reported spec value. Maximum is used for specifications given as warranted values.  80th percentile is useful for "typical" specifications when "typical" is defined as 80th percentile, such as in some Keysight products. In some circles, "Typical" is the Mean.  Select 95th percentile or median if the specification is given or known in one of those forms.  Fixed is used when the entered value is the actual value for the device.
Distribution settings refer to the population distribution of the |</t>
        </r>
        <r>
          <rPr>
            <sz val="11"/>
            <color indexed="81"/>
            <rFont val="Symbol"/>
            <family val="1"/>
            <charset val="2"/>
          </rPr>
          <t>G</t>
        </r>
        <r>
          <rPr>
            <sz val="11"/>
            <color indexed="81"/>
            <rFont val="Tahoma"/>
            <family val="2"/>
          </rPr>
          <t>|values for the device.   "Fixed" means that the match is always at the given level. "Rayleigh" means that the probability density function (pdf) of the magnitude of the reflection coefficient is a Rayleigh distribution, which it normally is when the overall mismatch is due to several interacting impedance transitions within the device.  "Uniform within a circle" is a distribution that was historically used in the industry, before the Rayleigh research, as documented in Keysight Application Note 1449-3, but is rarely accurate.</t>
        </r>
      </text>
    </comment>
    <comment ref="C48" authorId="0" shapeId="0" xr:uid="{00000000-0006-0000-0000-00000A000000}">
      <text>
        <r>
          <rPr>
            <b/>
            <sz val="11"/>
            <color indexed="81"/>
            <rFont val="Tahoma"/>
            <family val="2"/>
          </rPr>
          <t>Administrator:</t>
        </r>
        <r>
          <rPr>
            <sz val="11"/>
            <color indexed="81"/>
            <rFont val="Tahoma"/>
            <family val="2"/>
          </rPr>
          <t xml:space="preserve">
1/SQRT(LN(20))</t>
        </r>
      </text>
    </comment>
    <comment ref="C50" authorId="0" shapeId="0" xr:uid="{00000000-0006-0000-0000-00000B000000}">
      <text>
        <r>
          <rPr>
            <b/>
            <sz val="11"/>
            <color indexed="81"/>
            <rFont val="Tahoma"/>
            <family val="2"/>
          </rPr>
          <t>Administrator:</t>
        </r>
        <r>
          <rPr>
            <sz val="11"/>
            <color indexed="81"/>
            <rFont val="Tahoma"/>
            <family val="2"/>
          </rPr>
          <t xml:space="preserve">
1/SQRT(2)</t>
        </r>
      </text>
    </comment>
    <comment ref="D53" authorId="0" shapeId="0" xr:uid="{00000000-0006-0000-0000-00000C000000}">
      <text>
        <r>
          <rPr>
            <b/>
            <sz val="11"/>
            <color indexed="81"/>
            <rFont val="Tahoma"/>
            <family val="2"/>
          </rPr>
          <t>Administrator:</t>
        </r>
        <r>
          <rPr>
            <sz val="11"/>
            <color indexed="81"/>
            <rFont val="Tahoma"/>
            <family val="2"/>
          </rPr>
          <t xml:space="preserve">
Agilent 2012:
Conversion factor from the the given style to the "reference" style (which is 95th percentile) for Rayleigh distributions </t>
        </r>
      </text>
    </comment>
    <comment ref="F53" authorId="0" shapeId="0" xr:uid="{00000000-0006-0000-0000-00000D000000}">
      <text>
        <r>
          <rPr>
            <b/>
            <sz val="11"/>
            <color indexed="81"/>
            <rFont val="Tahoma"/>
            <family val="2"/>
          </rPr>
          <t>Administrator:</t>
        </r>
        <r>
          <rPr>
            <sz val="11"/>
            <color indexed="81"/>
            <rFont val="Tahoma"/>
            <family val="2"/>
          </rPr>
          <t xml:space="preserve">
Agilent 2012:
Conversion factor from the the given style to the "reference" style (which is "Maximum") for uniform-within-Circle distributions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1" authorId="0" shapeId="0" xr:uid="{00000000-0006-0000-0300-000001000000}">
      <text>
        <r>
          <rPr>
            <b/>
            <sz val="11"/>
            <color indexed="81"/>
            <rFont val="Tahoma"/>
            <family val="2"/>
          </rPr>
          <t xml:space="preserve">
Enter parameters for the noise source used for the user calibration in the shaded area.
Frequency Unit (column B):  This may be GHz, MHz, KHz, or Hz.  Hz is assumed if left blank.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1" authorId="0" shapeId="0" xr:uid="{00000000-0006-0000-0400-000001000000}">
      <text>
        <r>
          <rPr>
            <b/>
            <sz val="11"/>
            <color indexed="81"/>
            <rFont val="Tahoma"/>
            <family val="2"/>
          </rPr>
          <t xml:space="preserve">Enter parameters for the noise source used for the DUT measurement in the shaded area.
Frequency Unit (column B):  This may be GHz, MHz, KHz, or Hz.  Hz is assumed if left blank.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1" authorId="0" shapeId="0" xr:uid="{00000000-0006-0000-0700-000001000000}">
      <text>
        <r>
          <rPr>
            <b/>
            <sz val="11"/>
            <color indexed="81"/>
            <rFont val="Tahoma"/>
            <family val="2"/>
          </rPr>
          <t xml:space="preserve">
 Enter DUT data in the shaded cells.
Frequency Unit (column B):  This may be GHz, MHz, KHz, or Hz.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1" authorId="0" shapeId="0" xr:uid="{00000000-0006-0000-0800-000001000000}">
      <text>
        <r>
          <rPr>
            <b/>
            <sz val="11"/>
            <color indexed="81"/>
            <rFont val="Tahoma"/>
            <family val="2"/>
          </rPr>
          <t xml:space="preserve">
 Enter Preamp Data in the shaded cells:
Frequency Unit (Column B):  This may be GHz, MHz, KHz, or Hz.  If left blank, Hz is assumed.
P1dB Out is the output power at which the amplifier gain is 1 dB less than at low power .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K01_EVAL" description="Connection to the 'K01_EVAL' query in the workbook." type="5" refreshedVersion="0" background="1">
    <dbPr connection="Provider=Microsoft.Mashup.OleDb.1;Data Source=$Workbook$;Location=K01_EVAL;Extended Properties=&quot;&quot;" command="SELECT * FROM [K01_EVAL]"/>
  </connection>
</connections>
</file>

<file path=xl/sharedStrings.xml><?xml version="1.0" encoding="utf-8"?>
<sst xmlns="http://schemas.openxmlformats.org/spreadsheetml/2006/main" count="1168" uniqueCount="371">
  <si>
    <t xml:space="preserve"> </t>
  </si>
  <si>
    <t>Gain (dB)</t>
  </si>
  <si>
    <t>Noise Figure (dB)</t>
  </si>
  <si>
    <t xml:space="preserve">DUT </t>
  </si>
  <si>
    <t>DUT Values used in analysis:</t>
  </si>
  <si>
    <t>Frequency (GHz)</t>
  </si>
  <si>
    <t>Points</t>
  </si>
  <si>
    <t>FreqStep</t>
  </si>
  <si>
    <t>Preamp</t>
  </si>
  <si>
    <t>Preamp Value Entry</t>
  </si>
  <si>
    <t>A</t>
  </si>
  <si>
    <t>C</t>
  </si>
  <si>
    <t>F</t>
  </si>
  <si>
    <t>Gain Slope (db/GHz)</t>
  </si>
  <si>
    <t>sel</t>
  </si>
  <si>
    <t>band</t>
  </si>
  <si>
    <t>Gain dc</t>
  </si>
  <si>
    <t>Gain slope</t>
  </si>
  <si>
    <t>346A</t>
  </si>
  <si>
    <t>346B</t>
  </si>
  <si>
    <t>346C</t>
  </si>
  <si>
    <t>ENR (dB)</t>
  </si>
  <si>
    <t>346K01</t>
  </si>
  <si>
    <t>Noise Source</t>
  </si>
  <si>
    <t>ENR Uncert. (dB)</t>
  </si>
  <si>
    <t>ENR Uncertainty (dB)</t>
  </si>
  <si>
    <t>FieldFox Model</t>
  </si>
  <si>
    <t>DANL (dBm)</t>
  </si>
  <si>
    <t xml:space="preserve">FieldFox </t>
  </si>
  <si>
    <t>typical DANL (dBm)</t>
  </si>
  <si>
    <t>Bandwidth</t>
  </si>
  <si>
    <t>Meas Bandwidth (Hz)</t>
  </si>
  <si>
    <t>5MHz</t>
  </si>
  <si>
    <t>2MHz</t>
  </si>
  <si>
    <t>1MHz</t>
  </si>
  <si>
    <t>300kHz</t>
  </si>
  <si>
    <t>input VSWR (N:1)</t>
  </si>
  <si>
    <t>VSWR</t>
  </si>
  <si>
    <t>User Cal</t>
  </si>
  <si>
    <t>F GHz</t>
  </si>
  <si>
    <t>Calibration</t>
  </si>
  <si>
    <t>Measurement</t>
  </si>
  <si>
    <t>Thot</t>
  </si>
  <si>
    <t>T_0</t>
  </si>
  <si>
    <t>Noise Source Values used in analysis:</t>
  </si>
  <si>
    <t>Tcold</t>
  </si>
  <si>
    <t>TFFamb</t>
  </si>
  <si>
    <t>Tpreamp</t>
  </si>
  <si>
    <t>Ambients</t>
  </si>
  <si>
    <t>Actives</t>
  </si>
  <si>
    <t>k_mw</t>
  </si>
  <si>
    <t>kT0dB</t>
  </si>
  <si>
    <t>Tffactive</t>
  </si>
  <si>
    <t>Phot</t>
  </si>
  <si>
    <t>Gpreamp</t>
  </si>
  <si>
    <t>Pcold</t>
  </si>
  <si>
    <t>Prec</t>
  </si>
  <si>
    <t>TUC</t>
  </si>
  <si>
    <t>BW</t>
  </si>
  <si>
    <t>GUC</t>
  </si>
  <si>
    <t>PC</t>
  </si>
  <si>
    <t>PH</t>
  </si>
  <si>
    <t>TH</t>
  </si>
  <si>
    <t>PR</t>
  </si>
  <si>
    <t>Prec Partials</t>
  </si>
  <si>
    <t>PUC</t>
  </si>
  <si>
    <t>time</t>
  </si>
  <si>
    <t>cold</t>
  </si>
  <si>
    <t>hot</t>
  </si>
  <si>
    <t>rec</t>
  </si>
  <si>
    <t>time hot</t>
  </si>
  <si>
    <t>time cold</t>
  </si>
  <si>
    <t>time rec</t>
  </si>
  <si>
    <t>cal</t>
  </si>
  <si>
    <t>meas</t>
  </si>
  <si>
    <t>jitter1H1s</t>
  </si>
  <si>
    <t>Ujitter</t>
  </si>
  <si>
    <t>Umatch</t>
  </si>
  <si>
    <t>MagKnown</t>
  </si>
  <si>
    <t>MagLimited</t>
  </si>
  <si>
    <t>RevRatio</t>
  </si>
  <si>
    <t>Rev Ratio</t>
  </si>
  <si>
    <t>Reverse Ratio</t>
  </si>
  <si>
    <t>NF</t>
  </si>
  <si>
    <t>|G| rec</t>
  </si>
  <si>
    <t>|G| hot</t>
  </si>
  <si>
    <r>
      <t xml:space="preserve"> |</t>
    </r>
    <r>
      <rPr>
        <sz val="11"/>
        <color theme="1"/>
        <rFont val="Symbol"/>
        <family val="1"/>
        <charset val="2"/>
      </rPr>
      <t>G</t>
    </r>
    <r>
      <rPr>
        <sz val="11"/>
        <color theme="1"/>
        <rFont val="Calibri"/>
        <family val="2"/>
      </rPr>
      <t>|hot (linear)</t>
    </r>
  </si>
  <si>
    <r>
      <t xml:space="preserve"> |</t>
    </r>
    <r>
      <rPr>
        <sz val="11"/>
        <color theme="1"/>
        <rFont val="Symbol"/>
        <family val="1"/>
        <charset val="2"/>
      </rPr>
      <t>G</t>
    </r>
    <r>
      <rPr>
        <sz val="11"/>
        <color theme="1"/>
        <rFont val="Calibri"/>
        <family val="2"/>
      </rPr>
      <t>|cold (linear)</t>
    </r>
  </si>
  <si>
    <t>conf rec</t>
  </si>
  <si>
    <t>UmatchHot</t>
  </si>
  <si>
    <t>UMatchCold</t>
  </si>
  <si>
    <t>|G| cold</t>
  </si>
  <si>
    <t>PC jitter</t>
  </si>
  <si>
    <t>PC match</t>
  </si>
  <si>
    <t>Ph jitter</t>
  </si>
  <si>
    <t xml:space="preserve">Ph match </t>
  </si>
  <si>
    <t>PC total</t>
  </si>
  <si>
    <t>Ph total</t>
  </si>
  <si>
    <t>Pr total</t>
  </si>
  <si>
    <t>Th total</t>
  </si>
  <si>
    <t>PrecUnc</t>
  </si>
  <si>
    <t>TDUT</t>
  </si>
  <si>
    <t>GDUT</t>
  </si>
  <si>
    <t>T Partials</t>
  </si>
  <si>
    <t>conf dut</t>
  </si>
  <si>
    <t>dut</t>
  </si>
  <si>
    <t>|G| dut in</t>
  </si>
  <si>
    <t>|G| dut out</t>
  </si>
  <si>
    <t>Pr jitter</t>
  </si>
  <si>
    <t>TdutUnc</t>
  </si>
  <si>
    <t>Contributors</t>
  </si>
  <si>
    <t>(/deg)</t>
  </si>
  <si>
    <t>*NSD</t>
  </si>
  <si>
    <t>dB</t>
  </si>
  <si>
    <t>Deltas*Partials</t>
  </si>
  <si>
    <t xml:space="preserve">ENR </t>
  </si>
  <si>
    <t>Gain</t>
  </si>
  <si>
    <t>Noise</t>
  </si>
  <si>
    <t>Figure</t>
  </si>
  <si>
    <t xml:space="preserve">Gain </t>
  </si>
  <si>
    <r>
      <t xml:space="preserve"> Device |</t>
    </r>
    <r>
      <rPr>
        <b/>
        <sz val="11"/>
        <color theme="1"/>
        <rFont val="Symbol"/>
        <family val="1"/>
        <charset val="2"/>
      </rPr>
      <t>G</t>
    </r>
    <r>
      <rPr>
        <b/>
        <sz val="11"/>
        <color theme="1"/>
        <rFont val="Calibri"/>
        <family val="2"/>
        <scheme val="minor"/>
      </rPr>
      <t>| Confidence Levels:</t>
    </r>
  </si>
  <si>
    <t>BWsetting</t>
  </si>
  <si>
    <t>NseSrcGamConf</t>
  </si>
  <si>
    <t>PreampGamConf</t>
  </si>
  <si>
    <t>DUTgamConf</t>
  </si>
  <si>
    <t>ENRU_DataType</t>
  </si>
  <si>
    <t>Preamp_DataType</t>
  </si>
  <si>
    <t>DUT_DataType</t>
  </si>
  <si>
    <t>NseSrc_DataType</t>
  </si>
  <si>
    <t>ENRconf</t>
  </si>
  <si>
    <t xml:space="preserve"> DUT</t>
  </si>
  <si>
    <t>FieldFoxType</t>
  </si>
  <si>
    <t>Tsys</t>
  </si>
  <si>
    <t>Fysy</t>
  </si>
  <si>
    <t>dPH</t>
  </si>
  <si>
    <t>dPC</t>
  </si>
  <si>
    <t>dPR</t>
  </si>
  <si>
    <t>TGoal</t>
  </si>
  <si>
    <t>UncCold1s</t>
  </si>
  <si>
    <t>TimeToGoal</t>
  </si>
  <si>
    <t>timeC</t>
  </si>
  <si>
    <t>timeR</t>
  </si>
  <si>
    <t>timeH</t>
  </si>
  <si>
    <t>NT + nsd</t>
  </si>
  <si>
    <t>NT - nsd</t>
  </si>
  <si>
    <t>Nf + error</t>
  </si>
  <si>
    <t>NF - error</t>
  </si>
  <si>
    <t>Jitter</t>
  </si>
  <si>
    <t>db</t>
  </si>
  <si>
    <t>Breakdowns</t>
  </si>
  <si>
    <t>T</t>
  </si>
  <si>
    <t>Mismatch</t>
  </si>
  <si>
    <t>ENR</t>
  </si>
  <si>
    <t>ENR Uncer. Confidence</t>
  </si>
  <si>
    <t>Mismatch power</t>
  </si>
  <si>
    <t>Output P1dB (dBm)</t>
  </si>
  <si>
    <t>P1dB Out</t>
  </si>
  <si>
    <t xml:space="preserve">Phot </t>
  </si>
  <si>
    <t>(dBm)</t>
  </si>
  <si>
    <t>Compressed</t>
  </si>
  <si>
    <t>Warn P1dB</t>
  </si>
  <si>
    <t>Input Compression (dBm)</t>
  </si>
  <si>
    <t>Auto Integration:</t>
  </si>
  <si>
    <t>P1dB</t>
  </si>
  <si>
    <t>Compression</t>
  </si>
  <si>
    <t>Warning:</t>
  </si>
  <si>
    <t>DUT Gain (dB)</t>
  </si>
  <si>
    <t>Preamp Gain (dB)</t>
  </si>
  <si>
    <t>Preamp Noise Figure (dB)</t>
  </si>
  <si>
    <t>Fieldfox Input Match (dB)</t>
  </si>
  <si>
    <t>System Information:</t>
  </si>
  <si>
    <t>total</t>
  </si>
  <si>
    <t>Measurement Time Per Point (s)</t>
  </si>
  <si>
    <t>TC</t>
  </si>
  <si>
    <t>TCdrift</t>
  </si>
  <si>
    <t>TCff</t>
  </si>
  <si>
    <t>TCtotal</t>
  </si>
  <si>
    <t>TFF</t>
  </si>
  <si>
    <t>Tff delta</t>
  </si>
  <si>
    <t>Tdrift</t>
  </si>
  <si>
    <t xml:space="preserve">T </t>
  </si>
  <si>
    <t>Frequency</t>
  </si>
  <si>
    <t>ENR UNC</t>
  </si>
  <si>
    <t>REFLECTION</t>
  </si>
  <si>
    <t>COEF. ON</t>
  </si>
  <si>
    <t>COEF. OFF</t>
  </si>
  <si>
    <t>Mag</t>
  </si>
  <si>
    <t>Phase Deg</t>
  </si>
  <si>
    <t>PhaseDeg</t>
  </si>
  <si>
    <t>Date Calibrated</t>
  </si>
  <si>
    <t>Serial No:</t>
  </si>
  <si>
    <t>Desccription:</t>
  </si>
  <si>
    <t>Options installed:</t>
  </si>
  <si>
    <t>Model No:</t>
  </si>
  <si>
    <t>Certificate No:</t>
  </si>
  <si>
    <t>Frequency Multiplier</t>
  </si>
  <si>
    <t>GHZ</t>
  </si>
  <si>
    <t>Meas Freq</t>
  </si>
  <si>
    <t>ENR_U</t>
  </si>
  <si>
    <t>Hot Gamma</t>
  </si>
  <si>
    <t>Cold Gamma</t>
  </si>
  <si>
    <t>NOTE:  Descriptive information and reflection coef. phase are optional information not used in this analysis</t>
  </si>
  <si>
    <t>Frequency (GHz):</t>
  </si>
  <si>
    <t>Gamma Confidence</t>
  </si>
  <si>
    <t>Goal (dB):</t>
  </si>
  <si>
    <t xml:space="preserve"> (seconds):</t>
  </si>
  <si>
    <t>Max (s):</t>
  </si>
  <si>
    <t xml:space="preserve">Start </t>
  </si>
  <si>
    <t>Stop</t>
  </si>
  <si>
    <t>DUT Type</t>
  </si>
  <si>
    <t>Output</t>
  </si>
  <si>
    <t>Input</t>
  </si>
  <si>
    <t>Cal Auto Integration:</t>
  </si>
  <si>
    <t>(GHz):</t>
  </si>
  <si>
    <t>Noise Figure</t>
  </si>
  <si>
    <t>(dB)</t>
  </si>
  <si>
    <t>P1dB Comp.</t>
  </si>
  <si>
    <t xml:space="preserve">Report Confidence </t>
  </si>
  <si>
    <t>(Standard Deviations):</t>
  </si>
  <si>
    <t>Ambient Temp (K)</t>
  </si>
  <si>
    <t>HNS Match</t>
  </si>
  <si>
    <t>Sources</t>
  </si>
  <si>
    <t>Total Mismatch</t>
  </si>
  <si>
    <t>CNS Match</t>
  </si>
  <si>
    <t>CNS Ucal Match</t>
  </si>
  <si>
    <t>HMS Ucal Match</t>
  </si>
  <si>
    <t>Total Match</t>
  </si>
  <si>
    <t>HNS-DUT</t>
  </si>
  <si>
    <t>HNS-Preamp</t>
  </si>
  <si>
    <t>Cal Breakdown</t>
  </si>
  <si>
    <t>Prec jitter</t>
  </si>
  <si>
    <t>Total User Cal</t>
  </si>
  <si>
    <t>CNS Jitter</t>
  </si>
  <si>
    <t>HNS Jitter</t>
  </si>
  <si>
    <t>Rec Jitter</t>
  </si>
  <si>
    <t>Keysight FieldFox Noise Figure Uncertainty Calculator</t>
  </si>
  <si>
    <t>i</t>
  </si>
  <si>
    <t>Noise Standard Data:</t>
  </si>
  <si>
    <t>kBw</t>
  </si>
  <si>
    <t>346C K01</t>
  </si>
  <si>
    <t>User Entered</t>
  </si>
  <si>
    <t>Spot Value</t>
  </si>
  <si>
    <t>DUT</t>
  </si>
  <si>
    <t>Cal</t>
  </si>
  <si>
    <t>meas sel</t>
  </si>
  <si>
    <t>cal sel</t>
  </si>
  <si>
    <t>Meas. Noise Source ENR (dB)</t>
  </si>
  <si>
    <t>Cal Noise Source ENR (dB)</t>
  </si>
  <si>
    <t>DUT Gain</t>
  </si>
  <si>
    <t>FieldFox Noise Figure</t>
  </si>
  <si>
    <t>Preamp Gain</t>
  </si>
  <si>
    <t>Preamp Noise Figure</t>
  </si>
  <si>
    <t>Measurement Noise Source ENR</t>
  </si>
  <si>
    <t>ENR Uncertainty</t>
  </si>
  <si>
    <t xml:space="preserve">Measurement Time/Point </t>
  </si>
  <si>
    <t>Cal Noise Source ENR</t>
  </si>
  <si>
    <t>Spot Values</t>
  </si>
  <si>
    <t>U7227/8 A</t>
  </si>
  <si>
    <t>U7227/8 C</t>
  </si>
  <si>
    <t>U7227/8 F</t>
  </si>
  <si>
    <t>No Preamp</t>
  </si>
  <si>
    <t>Hot State</t>
  </si>
  <si>
    <t>Cold State</t>
  </si>
  <si>
    <t>Frequency Converting</t>
  </si>
  <si>
    <t>5 MHz</t>
  </si>
  <si>
    <t>2 MHz</t>
  </si>
  <si>
    <t>1 MHz</t>
  </si>
  <si>
    <t>300 kHz</t>
  </si>
  <si>
    <r>
      <t xml:space="preserve">Calculator Instructions </t>
    </r>
    <r>
      <rPr>
        <b/>
        <sz val="14"/>
        <color rgb="FF00B0F0"/>
        <rFont val="cmmib8"/>
        <family val="2"/>
      </rPr>
      <t xml:space="preserve"> </t>
    </r>
    <r>
      <rPr>
        <b/>
        <i/>
        <sz val="14"/>
        <color rgb="FF00B0F0"/>
        <rFont val="cmmib8"/>
        <family val="2"/>
      </rPr>
      <t>i</t>
    </r>
  </si>
  <si>
    <t>Linear (Amplifier)</t>
  </si>
  <si>
    <t>Measured</t>
  </si>
  <si>
    <t>Actual</t>
  </si>
  <si>
    <t>Measured Nse Fig. (dB)</t>
  </si>
  <si>
    <t>Summary</t>
  </si>
  <si>
    <t>Spec Style</t>
  </si>
  <si>
    <t>Distribution</t>
  </si>
  <si>
    <t>Distribution Factors</t>
  </si>
  <si>
    <t>Rayleigh</t>
  </si>
  <si>
    <t>Fixed</t>
  </si>
  <si>
    <t>GammaStyles</t>
  </si>
  <si>
    <t>Annotation</t>
  </si>
  <si>
    <t>RayConv-95th</t>
  </si>
  <si>
    <t>WithinCircConv</t>
  </si>
  <si>
    <t>Maximum</t>
  </si>
  <si>
    <r>
      <t>|</t>
    </r>
    <r>
      <rPr>
        <sz val="10"/>
        <rFont val="Arial"/>
        <family val="2"/>
      </rPr>
      <t>Γmax|</t>
    </r>
  </si>
  <si>
    <t>95th %ile</t>
  </si>
  <si>
    <t>|Γ95|</t>
  </si>
  <si>
    <t>80th %ile</t>
  </si>
  <si>
    <t>|Γ80|</t>
  </si>
  <si>
    <t>Median</t>
  </si>
  <si>
    <t>|Γ50|</t>
  </si>
  <si>
    <t>Mean</t>
  </si>
  <si>
    <t>|Γmean|</t>
  </si>
  <si>
    <r>
      <t>|</t>
    </r>
    <r>
      <rPr>
        <sz val="10"/>
        <rFont val="Arial"/>
        <family val="2"/>
      </rPr>
      <t>Γ|</t>
    </r>
  </si>
  <si>
    <t>Uniform in Circle</t>
  </si>
  <si>
    <t>Conf. Factor</t>
  </si>
  <si>
    <t>Meas. Integration Time</t>
  </si>
  <si>
    <t>User Cal. Integration Time</t>
  </si>
  <si>
    <t>BV</t>
  </si>
  <si>
    <t>CB</t>
  </si>
  <si>
    <t>BX</t>
  </si>
  <si>
    <t>CD</t>
  </si>
  <si>
    <t>BZ</t>
  </si>
  <si>
    <t>BB</t>
  </si>
  <si>
    <t>AV</t>
  </si>
  <si>
    <t>MHz</t>
  </si>
  <si>
    <r>
      <t xml:space="preserve"> |</t>
    </r>
    <r>
      <rPr>
        <sz val="11"/>
        <rFont val="Symbol"/>
        <family val="1"/>
        <charset val="2"/>
      </rPr>
      <t>G</t>
    </r>
    <r>
      <rPr>
        <sz val="11"/>
        <rFont val="Calibri"/>
        <family val="2"/>
      </rPr>
      <t>| (linear)</t>
    </r>
  </si>
  <si>
    <t>DUT Data</t>
  </si>
  <si>
    <t>COEF. (Mag)</t>
  </si>
  <si>
    <t>Freq</t>
  </si>
  <si>
    <t>Multiplier</t>
  </si>
  <si>
    <t xml:space="preserve">Noise Figure </t>
  </si>
  <si>
    <t>GHz</t>
  </si>
  <si>
    <t>Units</t>
  </si>
  <si>
    <t>Gamma</t>
  </si>
  <si>
    <t xml:space="preserve"> Gamma</t>
  </si>
  <si>
    <t>(GHz)</t>
  </si>
  <si>
    <t xml:space="preserve">Output </t>
  </si>
  <si>
    <t>diff</t>
  </si>
  <si>
    <t>min diff</t>
  </si>
  <si>
    <r>
      <t>Input |</t>
    </r>
    <r>
      <rPr>
        <sz val="11"/>
        <rFont val="Symbol"/>
        <family val="1"/>
        <charset val="2"/>
      </rPr>
      <t>G</t>
    </r>
    <r>
      <rPr>
        <sz val="11"/>
        <rFont val="Calibri"/>
        <family val="2"/>
      </rPr>
      <t>| (dB)</t>
    </r>
  </si>
  <si>
    <r>
      <t>Output |</t>
    </r>
    <r>
      <rPr>
        <sz val="11"/>
        <rFont val="Symbol"/>
        <family val="1"/>
        <charset val="2"/>
      </rPr>
      <t>G</t>
    </r>
    <r>
      <rPr>
        <sz val="11"/>
        <rFont val="Calibri"/>
        <family val="2"/>
        <scheme val="minor"/>
      </rPr>
      <t>| (dB)</t>
    </r>
  </si>
  <si>
    <t>Preamp Data</t>
  </si>
  <si>
    <t>DUT Output Reflection Coefficient</t>
  </si>
  <si>
    <t>DUT Input Reflection Coefficient</t>
  </si>
  <si>
    <t>Preamp Input Reflection Coefficient</t>
  </si>
  <si>
    <t>Preamp Output Reflection Coefficient</t>
  </si>
  <si>
    <t>Meas. Hot Noise Source Refl. Coef.</t>
  </si>
  <si>
    <t>Cal. Hot Noise Refl. Coef.</t>
  </si>
  <si>
    <t>Meas. Cold Noise Source Refl. Coef.</t>
  </si>
  <si>
    <t>Cal. Cold Noise Source Refl. Coef.</t>
  </si>
  <si>
    <t>Measurement Hot Noise Source Refl. Coef.</t>
  </si>
  <si>
    <t>Measurement Cold Noise Source Refl. Coef.</t>
  </si>
  <si>
    <t>Cal Hot Noise Source Refl. Coef.</t>
  </si>
  <si>
    <t>Cal Cold Noise Source Refl. Coef.</t>
  </si>
  <si>
    <t>|S22DUT|</t>
  </si>
  <si>
    <t>U(PH)|mm</t>
  </si>
  <si>
    <t>U(PH)|c1</t>
  </si>
  <si>
    <t>U(PC)|c1GC</t>
  </si>
  <si>
    <t>U(PC)|c1S22</t>
  </si>
  <si>
    <t>vnR</t>
  </si>
  <si>
    <t>Reverse Factor</t>
  </si>
  <si>
    <t>Factor</t>
  </si>
  <si>
    <r>
      <t>|</t>
    </r>
    <r>
      <rPr>
        <sz val="11"/>
        <rFont val="Symbol"/>
        <family val="1"/>
        <charset val="2"/>
      </rPr>
      <t>G</t>
    </r>
    <r>
      <rPr>
        <sz val="11"/>
        <rFont val="Calibri"/>
        <family val="2"/>
        <scheme val="minor"/>
      </rPr>
      <t>|</t>
    </r>
  </si>
  <si>
    <t>Preamp Rev. Nse.</t>
  </si>
  <si>
    <t>DUT Rev Nse</t>
  </si>
  <si>
    <t>Rev Nse. Wave</t>
  </si>
  <si>
    <t>Preamp Values used in analysis:</t>
  </si>
  <si>
    <t>low freq</t>
  </si>
  <si>
    <t>high freq</t>
  </si>
  <si>
    <t>Rev Noise</t>
  </si>
  <si>
    <t>Rev. Noise</t>
  </si>
  <si>
    <t>Rev. Noise Factor</t>
  </si>
  <si>
    <t>Low Freq</t>
  </si>
  <si>
    <t>High Freq</t>
  </si>
  <si>
    <t>Freq Low</t>
  </si>
  <si>
    <t>Freq High</t>
  </si>
  <si>
    <t>Use Reverse</t>
  </si>
  <si>
    <t>346C K40</t>
  </si>
  <si>
    <t>346K40</t>
  </si>
  <si>
    <t>Measurement Noise Standard</t>
  </si>
  <si>
    <t>User Cal Noise Standard</t>
  </si>
  <si>
    <t>FieldFox Noise Figure (dB)</t>
  </si>
  <si>
    <t>Meas.</t>
  </si>
  <si>
    <t>Use the same Noise Standard for User Cal and Measurement</t>
  </si>
  <si>
    <t>Resolution</t>
  </si>
  <si>
    <t>1xB, 3xB</t>
  </si>
  <si>
    <t>5xA, 6xA</t>
  </si>
  <si>
    <t>1xA, 3xA</t>
  </si>
  <si>
    <t>DUT Output Refl. Coef.</t>
  </si>
  <si>
    <t>Preamp Output Refl. Coef.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</si>
</sst>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
    <numFmt numFmtId="166" formatCode="0.0;[Red]0.0"/>
    <numFmt numFmtId="167" formatCode="0.0E+00"/>
    <numFmt numFmtId="168" formatCode="0.000"/>
    <numFmt numFmtId="169" formatCode="0.000E+00"/>
  </numFmts>
  <fonts count="28">
    <font>
      <sz val="11"/>
      <color theme="1"/>
      <name val="Calibri"/>
      <family val="2"/>
      <scheme val="minor"/>
    </font>
    <font>
      <b/>
      <sz val="11"/>
      <color theme="1"/>
      <name val="Calibri"/>
      <family val="2"/>
      <scheme val="minor"/>
    </font>
    <font>
      <sz val="11"/>
      <color theme="0"/>
      <name val="Calibri"/>
      <family val="2"/>
      <scheme val="minor"/>
    </font>
    <font>
      <sz val="11"/>
      <color theme="1"/>
      <name val="Symbol"/>
      <family val="1"/>
      <charset val="2"/>
    </font>
    <font>
      <sz val="11"/>
      <color theme="1"/>
      <name val="Calibri"/>
      <family val="2"/>
    </font>
    <font>
      <sz val="8"/>
      <color rgb="FF000000"/>
      <name val="Segoe UI"/>
      <family val="2"/>
    </font>
    <font>
      <b/>
      <sz val="11"/>
      <color theme="1"/>
      <name val="Symbol"/>
      <family val="1"/>
      <charset val="2"/>
    </font>
    <font>
      <b/>
      <sz val="14"/>
      <color rgb="FFFF0000"/>
      <name val="Calibri"/>
      <family val="2"/>
      <scheme val="minor"/>
    </font>
    <font>
      <b/>
      <sz val="10"/>
      <color theme="1"/>
      <name val="Calibri"/>
      <family val="2"/>
      <scheme val="minor"/>
    </font>
    <font>
      <sz val="11"/>
      <name val="Calibri"/>
      <family val="2"/>
      <scheme val="minor"/>
    </font>
    <font>
      <b/>
      <sz val="11"/>
      <name val="Calibri"/>
      <family val="2"/>
      <scheme val="minor"/>
    </font>
    <font>
      <b/>
      <sz val="12"/>
      <color theme="0"/>
      <name val="Calibri"/>
      <family val="2"/>
      <scheme val="minor"/>
    </font>
    <font>
      <sz val="11"/>
      <color indexed="81"/>
      <name val="Tahoma"/>
      <family val="2"/>
    </font>
    <font>
      <b/>
      <sz val="11"/>
      <color indexed="81"/>
      <name val="Tahoma"/>
      <family val="2"/>
    </font>
    <font>
      <b/>
      <sz val="11"/>
      <color rgb="FF00B0F0"/>
      <name val="Calibri"/>
      <family val="2"/>
      <scheme val="minor"/>
    </font>
    <font>
      <b/>
      <i/>
      <sz val="11"/>
      <color rgb="FF00B0F0"/>
      <name val="cmmib8"/>
      <family val="2"/>
    </font>
    <font>
      <sz val="12"/>
      <color theme="1"/>
      <name val="Calibri"/>
      <family val="2"/>
      <scheme val="minor"/>
    </font>
    <font>
      <b/>
      <sz val="14"/>
      <color rgb="FF00B0F0"/>
      <name val="cmmib8"/>
      <family val="2"/>
    </font>
    <font>
      <b/>
      <i/>
      <sz val="14"/>
      <color rgb="FF00B0F0"/>
      <name val="cmmib8"/>
      <family val="2"/>
    </font>
    <font>
      <sz val="11"/>
      <name val="Symbol"/>
      <family val="1"/>
      <charset val="2"/>
    </font>
    <font>
      <sz val="10"/>
      <name val="Arial"/>
      <family val="2"/>
    </font>
    <font>
      <b/>
      <sz val="10"/>
      <name val="Arial"/>
      <family val="2"/>
    </font>
    <font>
      <sz val="10"/>
      <color theme="1"/>
      <name val="Arial"/>
      <family val="2"/>
    </font>
    <font>
      <i/>
      <sz val="14"/>
      <color indexed="40"/>
      <name val="cmmib8"/>
      <family val="2"/>
    </font>
    <font>
      <sz val="11"/>
      <color indexed="81"/>
      <name val="Symbol"/>
      <family val="1"/>
      <charset val="2"/>
    </font>
    <font>
      <sz val="11"/>
      <name val="Calibri"/>
      <family val="2"/>
    </font>
    <font>
      <sz val="14"/>
      <color rgb="FFFFC000"/>
      <name val="Calibri"/>
      <family val="2"/>
      <scheme val="minor"/>
    </font>
    <font>
      <b/>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FFFFCC"/>
        <bgColor indexed="64"/>
      </patternFill>
    </fill>
    <fill>
      <patternFill patternType="solid">
        <fgColor rgb="FF00B0F0"/>
        <bgColor indexed="64"/>
      </patternFill>
    </fill>
    <fill>
      <patternFill patternType="solid">
        <fgColor theme="7"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s>
  <cellStyleXfs count="6">
    <xf numFmtId="0" fontId="0" fillId="0" borderId="0"/>
    <xf numFmtId="0" fontId="20" fillId="0" borderId="0"/>
    <xf numFmtId="0" fontId="22" fillId="0" borderId="0"/>
    <xf numFmtId="0" fontId="20" fillId="0" borderId="0"/>
    <xf numFmtId="0" fontId="20" fillId="0" borderId="0"/>
    <xf numFmtId="0" fontId="20" fillId="0" borderId="0"/>
  </cellStyleXfs>
  <cellXfs count="207">
    <xf numFmtId="0" fontId="0" fillId="0" borderId="0" xfId="0"/>
    <xf numFmtId="0" fontId="0" fillId="0" borderId="0" xfId="0" applyProtection="1">
      <protection locked="0"/>
    </xf>
    <xf numFmtId="0" fontId="0" fillId="0" borderId="0" xfId="0" applyProtection="1"/>
    <xf numFmtId="2" fontId="0" fillId="0" borderId="0" xfId="0" applyNumberFormat="1" applyProtection="1"/>
    <xf numFmtId="0" fontId="9" fillId="0" borderId="0" xfId="0" applyFont="1" applyProtection="1"/>
    <xf numFmtId="0" fontId="9" fillId="0" borderId="0" xfId="0" applyFont="1" applyBorder="1" applyProtection="1"/>
    <xf numFmtId="0" fontId="0" fillId="0" borderId="0" xfId="0" applyBorder="1" applyProtection="1"/>
    <xf numFmtId="0" fontId="10" fillId="0" borderId="11" xfId="0" applyFont="1" applyBorder="1" applyProtection="1"/>
    <xf numFmtId="0" fontId="0" fillId="0" borderId="13" xfId="0" applyBorder="1" applyProtection="1"/>
    <xf numFmtId="0" fontId="0" fillId="0" borderId="12" xfId="0" applyBorder="1" applyProtection="1"/>
    <xf numFmtId="0" fontId="1" fillId="0" borderId="0" xfId="0" applyFont="1" applyBorder="1" applyProtection="1"/>
    <xf numFmtId="0" fontId="0" fillId="3" borderId="6" xfId="0" applyFill="1" applyBorder="1" applyProtection="1">
      <protection locked="0"/>
    </xf>
    <xf numFmtId="0" fontId="9" fillId="3" borderId="6" xfId="0" applyFont="1" applyFill="1" applyBorder="1" applyProtection="1">
      <protection locked="0"/>
    </xf>
    <xf numFmtId="0" fontId="9" fillId="3" borderId="12" xfId="0" applyFont="1" applyFill="1" applyBorder="1" applyProtection="1">
      <protection locked="0"/>
    </xf>
    <xf numFmtId="0" fontId="0" fillId="0" borderId="6" xfId="0" applyBorder="1" applyProtection="1"/>
    <xf numFmtId="0" fontId="9" fillId="0" borderId="7" xfId="0" applyFont="1" applyBorder="1" applyProtection="1"/>
    <xf numFmtId="0" fontId="9" fillId="0" borderId="8" xfId="0" applyFont="1" applyBorder="1" applyProtection="1"/>
    <xf numFmtId="0" fontId="2" fillId="0" borderId="0" xfId="0" applyFont="1" applyBorder="1" applyProtection="1"/>
    <xf numFmtId="0" fontId="9" fillId="0" borderId="6" xfId="0" applyFont="1" applyBorder="1" applyProtection="1"/>
    <xf numFmtId="0" fontId="2" fillId="2" borderId="0" xfId="0" applyFont="1" applyFill="1" applyBorder="1" applyProtection="1"/>
    <xf numFmtId="0" fontId="0" fillId="0" borderId="0" xfId="0" applyFill="1" applyBorder="1" applyProtection="1"/>
    <xf numFmtId="0" fontId="15" fillId="0" borderId="0" xfId="0" applyFont="1" applyAlignment="1" applyProtection="1">
      <alignment horizontal="center"/>
    </xf>
    <xf numFmtId="0" fontId="0" fillId="0" borderId="1" xfId="0" applyBorder="1" applyProtection="1"/>
    <xf numFmtId="0" fontId="0" fillId="0" borderId="2" xfId="0" applyBorder="1" applyProtection="1"/>
    <xf numFmtId="0" fontId="0" fillId="0" borderId="3" xfId="0" applyBorder="1" applyProtection="1"/>
    <xf numFmtId="0" fontId="2" fillId="2" borderId="0" xfId="0" applyFont="1" applyFill="1" applyProtection="1"/>
    <xf numFmtId="0" fontId="0" fillId="5" borderId="4" xfId="0" applyFill="1" applyBorder="1" applyProtection="1"/>
    <xf numFmtId="0" fontId="0" fillId="5" borderId="0" xfId="0" applyFill="1" applyBorder="1" applyProtection="1"/>
    <xf numFmtId="0" fontId="0" fillId="5" borderId="5" xfId="0" applyFill="1" applyBorder="1" applyProtection="1"/>
    <xf numFmtId="0" fontId="0" fillId="5" borderId="6" xfId="0" applyFill="1" applyBorder="1" applyProtection="1">
      <protection locked="0"/>
    </xf>
    <xf numFmtId="0" fontId="0" fillId="0" borderId="4" xfId="0" applyBorder="1" applyProtection="1"/>
    <xf numFmtId="0" fontId="0" fillId="0" borderId="15" xfId="0" applyBorder="1" applyProtection="1"/>
    <xf numFmtId="0" fontId="0" fillId="0" borderId="16" xfId="0" applyBorder="1" applyProtection="1"/>
    <xf numFmtId="0" fontId="1" fillId="0" borderId="18" xfId="0" applyFont="1" applyBorder="1" applyAlignment="1" applyProtection="1">
      <alignment horizontal="center"/>
    </xf>
    <xf numFmtId="0" fontId="1" fillId="0" borderId="17" xfId="0" applyFont="1" applyBorder="1" applyAlignment="1" applyProtection="1">
      <alignment horizontal="center"/>
    </xf>
    <xf numFmtId="0" fontId="1" fillId="0" borderId="18" xfId="0" applyFont="1" applyFill="1" applyBorder="1" applyAlignment="1" applyProtection="1">
      <alignment horizontal="center"/>
    </xf>
    <xf numFmtId="0" fontId="1" fillId="0" borderId="1" xfId="0" applyFont="1" applyBorder="1" applyProtection="1"/>
    <xf numFmtId="0" fontId="0" fillId="0" borderId="5" xfId="0" applyBorder="1" applyProtection="1"/>
    <xf numFmtId="0" fontId="0" fillId="3" borderId="21" xfId="0" applyFill="1" applyBorder="1" applyProtection="1">
      <protection locked="0"/>
    </xf>
    <xf numFmtId="0" fontId="0" fillId="3" borderId="22" xfId="0" applyFill="1" applyBorder="1" applyProtection="1">
      <protection locked="0"/>
    </xf>
    <xf numFmtId="0" fontId="0" fillId="3" borderId="23" xfId="0" applyFill="1" applyBorder="1" applyProtection="1">
      <protection locked="0"/>
    </xf>
    <xf numFmtId="0" fontId="0" fillId="3" borderId="24" xfId="0" applyFill="1" applyBorder="1" applyProtection="1">
      <protection locked="0"/>
    </xf>
    <xf numFmtId="0" fontId="15" fillId="0" borderId="15" xfId="0" applyFont="1" applyBorder="1" applyAlignment="1" applyProtection="1">
      <alignment horizontal="center"/>
    </xf>
    <xf numFmtId="0" fontId="0" fillId="2" borderId="0" xfId="0" applyFill="1" applyBorder="1" applyProtection="1"/>
    <xf numFmtId="0" fontId="9" fillId="0" borderId="0" xfId="0" applyFont="1" applyBorder="1" applyProtection="1">
      <protection locked="0"/>
    </xf>
    <xf numFmtId="0" fontId="0" fillId="0" borderId="0" xfId="0" applyBorder="1" applyProtection="1">
      <protection locked="0"/>
    </xf>
    <xf numFmtId="0" fontId="2" fillId="0" borderId="4" xfId="0" applyFont="1" applyBorder="1" applyProtection="1">
      <protection locked="0"/>
    </xf>
    <xf numFmtId="0" fontId="2" fillId="0" borderId="5" xfId="0" applyFont="1" applyBorder="1" applyProtection="1">
      <protection locked="0"/>
    </xf>
    <xf numFmtId="0" fontId="2" fillId="0" borderId="0" xfId="0" applyFont="1" applyBorder="1" applyProtection="1">
      <protection locked="0"/>
    </xf>
    <xf numFmtId="0" fontId="0" fillId="0" borderId="4" xfId="0" applyBorder="1" applyProtection="1">
      <protection locked="0"/>
    </xf>
    <xf numFmtId="0" fontId="0" fillId="0" borderId="2" xfId="0" applyBorder="1" applyProtection="1">
      <protection locked="0"/>
    </xf>
    <xf numFmtId="0" fontId="2" fillId="0" borderId="4" xfId="0" applyFont="1" applyFill="1" applyBorder="1" applyProtection="1">
      <protection locked="0"/>
    </xf>
    <xf numFmtId="0" fontId="2" fillId="0" borderId="3" xfId="0" applyFont="1" applyFill="1" applyBorder="1" applyProtection="1">
      <protection locked="0"/>
    </xf>
    <xf numFmtId="0" fontId="2" fillId="0" borderId="3" xfId="0" applyFont="1" applyBorder="1" applyProtection="1">
      <protection locked="0"/>
    </xf>
    <xf numFmtId="0" fontId="0" fillId="0" borderId="0" xfId="0" applyFill="1" applyBorder="1" applyProtection="1">
      <protection locked="0"/>
    </xf>
    <xf numFmtId="0" fontId="0" fillId="0" borderId="6" xfId="0" applyBorder="1"/>
    <xf numFmtId="0" fontId="22" fillId="6" borderId="6" xfId="2" applyFill="1" applyBorder="1"/>
    <xf numFmtId="0" fontId="21" fillId="6" borderId="6" xfId="3" applyFont="1" applyFill="1" applyBorder="1"/>
    <xf numFmtId="0" fontId="21" fillId="6" borderId="6" xfId="4" applyFont="1" applyFill="1" applyBorder="1"/>
    <xf numFmtId="0" fontId="21" fillId="6" borderId="6" xfId="5" applyFont="1" applyFill="1" applyBorder="1"/>
    <xf numFmtId="0" fontId="20" fillId="6" borderId="6" xfId="3" applyFill="1" applyBorder="1"/>
    <xf numFmtId="0" fontId="20" fillId="6" borderId="6" xfId="4" applyFont="1" applyFill="1" applyBorder="1"/>
    <xf numFmtId="0" fontId="20" fillId="6" borderId="6" xfId="4" applyFill="1" applyBorder="1"/>
    <xf numFmtId="0" fontId="20" fillId="6" borderId="6" xfId="5" applyFill="1" applyBorder="1"/>
    <xf numFmtId="0" fontId="1" fillId="0" borderId="6" xfId="0" applyFont="1" applyBorder="1" applyProtection="1"/>
    <xf numFmtId="0" fontId="1" fillId="0" borderId="6" xfId="0" applyFont="1" applyBorder="1" applyAlignment="1" applyProtection="1">
      <alignment horizontal="center"/>
    </xf>
    <xf numFmtId="0" fontId="15" fillId="0" borderId="25" xfId="0" applyFont="1" applyBorder="1" applyAlignment="1" applyProtection="1">
      <alignment horizontal="center"/>
    </xf>
    <xf numFmtId="0" fontId="1" fillId="0" borderId="25" xfId="0" applyFont="1" applyBorder="1" applyProtection="1"/>
    <xf numFmtId="0" fontId="1" fillId="0" borderId="21" xfId="0" applyFont="1" applyBorder="1" applyProtection="1"/>
    <xf numFmtId="168" fontId="9" fillId="0" borderId="22" xfId="0" applyNumberFormat="1" applyFont="1" applyBorder="1" applyProtection="1"/>
    <xf numFmtId="0" fontId="2" fillId="0" borderId="6" xfId="0" applyFont="1" applyBorder="1" applyProtection="1">
      <protection locked="0"/>
    </xf>
    <xf numFmtId="0" fontId="1" fillId="0" borderId="11" xfId="0" applyFont="1" applyBorder="1" applyAlignment="1" applyProtection="1">
      <alignment horizontal="center"/>
    </xf>
    <xf numFmtId="0" fontId="2" fillId="0" borderId="11" xfId="0" applyFont="1" applyBorder="1" applyProtection="1">
      <protection locked="0"/>
    </xf>
    <xf numFmtId="0" fontId="2" fillId="0" borderId="15" xfId="0" applyFont="1" applyFill="1" applyBorder="1" applyProtection="1"/>
    <xf numFmtId="0" fontId="2" fillId="0" borderId="16" xfId="0" applyFont="1" applyFill="1" applyBorder="1" applyProtection="1"/>
    <xf numFmtId="0" fontId="0" fillId="3" borderId="6" xfId="0" applyFill="1" applyBorder="1" applyProtection="1"/>
    <xf numFmtId="0" fontId="15" fillId="0" borderId="3" xfId="0" applyFont="1" applyBorder="1" applyAlignment="1" applyProtection="1">
      <alignment horizontal="center"/>
    </xf>
    <xf numFmtId="0" fontId="0" fillId="0" borderId="4" xfId="0" applyFill="1" applyBorder="1" applyProtection="1"/>
    <xf numFmtId="0" fontId="0" fillId="0" borderId="0" xfId="0" applyFill="1" applyProtection="1"/>
    <xf numFmtId="0" fontId="0" fillId="7" borderId="0" xfId="0" applyFill="1" applyProtection="1"/>
    <xf numFmtId="0" fontId="9" fillId="0" borderId="0" xfId="0" applyFont="1" applyFill="1" applyBorder="1" applyAlignment="1" applyProtection="1">
      <alignment horizontal="center"/>
    </xf>
    <xf numFmtId="11" fontId="0" fillId="0" borderId="0" xfId="0" applyNumberFormat="1" applyProtection="1"/>
    <xf numFmtId="0" fontId="0" fillId="0" borderId="6" xfId="0" applyFill="1" applyBorder="1" applyProtection="1"/>
    <xf numFmtId="0" fontId="0" fillId="3" borderId="0" xfId="0" applyFill="1" applyBorder="1" applyProtection="1"/>
    <xf numFmtId="0" fontId="0" fillId="5" borderId="6" xfId="0" applyFill="1" applyBorder="1" applyProtection="1"/>
    <xf numFmtId="0" fontId="26" fillId="0" borderId="0" xfId="0" applyFont="1" applyBorder="1" applyAlignment="1" applyProtection="1"/>
    <xf numFmtId="2" fontId="9" fillId="0" borderId="0" xfId="0" applyNumberFormat="1" applyFont="1" applyProtection="1"/>
    <xf numFmtId="11" fontId="9" fillId="0" borderId="0" xfId="0" applyNumberFormat="1" applyFont="1" applyProtection="1"/>
    <xf numFmtId="165" fontId="9" fillId="0" borderId="0" xfId="0" applyNumberFormat="1" applyFont="1" applyProtection="1"/>
    <xf numFmtId="0" fontId="9" fillId="3" borderId="6" xfId="0" applyFont="1" applyFill="1" applyBorder="1" applyProtection="1"/>
    <xf numFmtId="0" fontId="2" fillId="0" borderId="0" xfId="0" applyFont="1" applyProtection="1"/>
    <xf numFmtId="0" fontId="2" fillId="0" borderId="6" xfId="0" applyFont="1" applyFill="1" applyBorder="1" applyProtection="1"/>
    <xf numFmtId="1" fontId="2" fillId="0" borderId="6" xfId="0" applyNumberFormat="1" applyFont="1" applyFill="1" applyBorder="1" applyProtection="1"/>
    <xf numFmtId="2" fontId="2" fillId="0" borderId="6" xfId="0" applyNumberFormat="1" applyFont="1" applyFill="1" applyBorder="1" applyProtection="1"/>
    <xf numFmtId="11" fontId="2" fillId="0" borderId="6" xfId="0" applyNumberFormat="1" applyFont="1" applyFill="1" applyBorder="1" applyProtection="1"/>
    <xf numFmtId="164" fontId="2" fillId="0" borderId="6" xfId="0" applyNumberFormat="1" applyFont="1" applyFill="1" applyBorder="1" applyProtection="1"/>
    <xf numFmtId="11" fontId="2" fillId="0" borderId="6" xfId="0" applyNumberFormat="1" applyFont="1" applyFill="1" applyBorder="1" applyProtection="1">
      <protection hidden="1"/>
    </xf>
    <xf numFmtId="11" fontId="27" fillId="0" borderId="6" xfId="0" applyNumberFormat="1" applyFont="1" applyFill="1" applyBorder="1" applyProtection="1"/>
    <xf numFmtId="0" fontId="2" fillId="0" borderId="5" xfId="0" applyFont="1" applyFill="1" applyBorder="1" applyProtection="1"/>
    <xf numFmtId="0" fontId="2" fillId="0" borderId="4" xfId="0" applyFont="1" applyFill="1" applyBorder="1" applyProtection="1"/>
    <xf numFmtId="0" fontId="9" fillId="0" borderId="6" xfId="0" applyFont="1" applyFill="1" applyBorder="1" applyProtection="1"/>
    <xf numFmtId="164" fontId="20" fillId="8" borderId="6" xfId="1" applyNumberFormat="1" applyFill="1" applyBorder="1"/>
    <xf numFmtId="164" fontId="22" fillId="8" borderId="6" xfId="2" applyNumberFormat="1" applyFill="1" applyBorder="1"/>
    <xf numFmtId="0" fontId="22" fillId="6" borderId="7" xfId="2" applyFill="1" applyBorder="1"/>
    <xf numFmtId="0" fontId="0" fillId="0" borderId="7" xfId="0" applyBorder="1"/>
    <xf numFmtId="0" fontId="0" fillId="8" borderId="6" xfId="0" applyFill="1" applyBorder="1" applyProtection="1">
      <protection locked="0"/>
    </xf>
    <xf numFmtId="0" fontId="0" fillId="0" borderId="11" xfId="0" applyBorder="1"/>
    <xf numFmtId="0" fontId="21" fillId="8" borderId="29" xfId="1" applyFont="1" applyFill="1" applyBorder="1"/>
    <xf numFmtId="0" fontId="0" fillId="8" borderId="30" xfId="0" applyFill="1" applyBorder="1" applyProtection="1">
      <protection locked="0"/>
    </xf>
    <xf numFmtId="0" fontId="0" fillId="8" borderId="31" xfId="0" applyFill="1" applyBorder="1" applyProtection="1">
      <protection locked="0"/>
    </xf>
    <xf numFmtId="0" fontId="0" fillId="8" borderId="25" xfId="0" applyFill="1" applyBorder="1" applyProtection="1">
      <protection locked="0"/>
    </xf>
    <xf numFmtId="0" fontId="0" fillId="8" borderId="24" xfId="0" applyFill="1" applyBorder="1" applyProtection="1">
      <protection locked="0"/>
    </xf>
    <xf numFmtId="49" fontId="20" fillId="8" borderId="25" xfId="1" applyNumberFormat="1" applyFont="1" applyFill="1" applyBorder="1"/>
    <xf numFmtId="164" fontId="20" fillId="8" borderId="25" xfId="1" applyNumberFormat="1" applyFill="1" applyBorder="1"/>
    <xf numFmtId="164" fontId="20" fillId="8" borderId="21" xfId="1" applyNumberFormat="1" applyFont="1" applyFill="1" applyBorder="1"/>
    <xf numFmtId="164" fontId="20" fillId="8" borderId="22" xfId="1" applyNumberFormat="1" applyFill="1" applyBorder="1"/>
    <xf numFmtId="164" fontId="22" fillId="8" borderId="22" xfId="2" applyNumberFormat="1" applyFill="1" applyBorder="1"/>
    <xf numFmtId="0" fontId="0" fillId="8" borderId="23" xfId="0" applyFill="1" applyBorder="1" applyProtection="1">
      <protection locked="0"/>
    </xf>
    <xf numFmtId="0" fontId="14" fillId="2" borderId="4" xfId="0" applyFont="1" applyFill="1" applyBorder="1" applyAlignment="1" applyProtection="1">
      <alignment horizontal="center"/>
    </xf>
    <xf numFmtId="0" fontId="14" fillId="2" borderId="0" xfId="0" applyFont="1" applyFill="1" applyBorder="1" applyAlignment="1" applyProtection="1">
      <alignment horizontal="center"/>
    </xf>
    <xf numFmtId="0" fontId="8" fillId="0" borderId="1" xfId="0" applyFont="1" applyBorder="1" applyProtection="1"/>
    <xf numFmtId="0" fontId="0" fillId="0" borderId="5" xfId="0" applyBorder="1" applyProtection="1">
      <protection locked="0"/>
    </xf>
    <xf numFmtId="0" fontId="0" fillId="0" borderId="32" xfId="0" applyBorder="1" applyProtection="1"/>
    <xf numFmtId="0" fontId="1" fillId="0" borderId="0" xfId="0" applyFont="1" applyBorder="1" applyAlignment="1" applyProtection="1">
      <alignment horizontal="center"/>
      <protection locked="0"/>
    </xf>
    <xf numFmtId="0" fontId="0" fillId="3" borderId="34" xfId="0" applyFill="1" applyBorder="1" applyProtection="1">
      <protection locked="0"/>
    </xf>
    <xf numFmtId="0" fontId="0" fillId="3" borderId="35" xfId="0" applyFill="1" applyBorder="1" applyProtection="1">
      <protection locked="0"/>
    </xf>
    <xf numFmtId="0" fontId="0" fillId="3" borderId="36" xfId="0" applyFill="1" applyBorder="1" applyProtection="1">
      <protection locked="0"/>
    </xf>
    <xf numFmtId="0" fontId="2" fillId="0" borderId="33" xfId="0" applyFont="1" applyBorder="1" applyProtection="1">
      <protection locked="0"/>
    </xf>
    <xf numFmtId="0" fontId="0" fillId="0" borderId="37" xfId="0" applyBorder="1" applyAlignment="1" applyProtection="1">
      <alignment horizontal="center"/>
    </xf>
    <xf numFmtId="0" fontId="0" fillId="0" borderId="6" xfId="0" applyBorder="1" applyAlignment="1" applyProtection="1">
      <alignment horizontal="center"/>
    </xf>
    <xf numFmtId="0" fontId="9" fillId="0" borderId="6" xfId="0" applyFont="1" applyBorder="1" applyAlignment="1" applyProtection="1">
      <alignment horizontal="center"/>
    </xf>
    <xf numFmtId="0" fontId="0" fillId="0" borderId="24" xfId="0" applyBorder="1" applyAlignment="1" applyProtection="1">
      <alignment horizontal="center"/>
    </xf>
    <xf numFmtId="0" fontId="0" fillId="0" borderId="25" xfId="0" applyBorder="1" applyAlignment="1" applyProtection="1">
      <alignment horizontal="center"/>
    </xf>
    <xf numFmtId="0" fontId="9" fillId="0" borderId="24" xfId="0" applyFont="1" applyBorder="1" applyAlignment="1" applyProtection="1">
      <alignment horizontal="center"/>
    </xf>
    <xf numFmtId="0" fontId="2" fillId="0" borderId="29" xfId="0" applyFont="1" applyBorder="1" applyProtection="1">
      <protection locked="0"/>
    </xf>
    <xf numFmtId="0" fontId="0" fillId="0" borderId="30" xfId="0" applyBorder="1" applyAlignment="1" applyProtection="1">
      <alignment horizontal="center"/>
    </xf>
    <xf numFmtId="0" fontId="0" fillId="0" borderId="31" xfId="0" applyBorder="1" applyAlignment="1" applyProtection="1">
      <alignment horizontal="center"/>
    </xf>
    <xf numFmtId="0" fontId="0" fillId="0" borderId="6" xfId="0" applyBorder="1" applyAlignment="1" applyProtection="1"/>
    <xf numFmtId="0" fontId="0" fillId="0" borderId="6" xfId="0" applyFill="1" applyBorder="1" applyAlignment="1" applyProtection="1"/>
    <xf numFmtId="0" fontId="2" fillId="0" borderId="25" xfId="0" applyFont="1" applyFill="1" applyBorder="1" applyProtection="1">
      <protection locked="0"/>
    </xf>
    <xf numFmtId="0" fontId="0" fillId="0" borderId="25" xfId="0" applyBorder="1" applyAlignment="1" applyProtection="1"/>
    <xf numFmtId="0" fontId="2" fillId="0" borderId="24" xfId="0" applyFont="1" applyBorder="1" applyProtection="1"/>
    <xf numFmtId="0" fontId="9" fillId="0" borderId="24" xfId="0" applyFont="1" applyFill="1" applyBorder="1" applyAlignment="1" applyProtection="1"/>
    <xf numFmtId="0" fontId="9" fillId="3" borderId="23" xfId="0" applyFont="1" applyFill="1" applyBorder="1" applyProtection="1"/>
    <xf numFmtId="0" fontId="9" fillId="2" borderId="5" xfId="0" applyFont="1" applyFill="1" applyBorder="1" applyAlignment="1" applyProtection="1">
      <alignment horizontal="center"/>
    </xf>
    <xf numFmtId="0" fontId="9" fillId="2" borderId="5" xfId="0" applyFont="1" applyFill="1" applyBorder="1" applyProtection="1"/>
    <xf numFmtId="0" fontId="0" fillId="0" borderId="38" xfId="0" applyBorder="1" applyProtection="1"/>
    <xf numFmtId="0" fontId="9" fillId="0" borderId="37" xfId="0" applyFont="1" applyBorder="1" applyAlignment="1" applyProtection="1">
      <alignment horizontal="center"/>
    </xf>
    <xf numFmtId="0" fontId="9" fillId="3" borderId="16" xfId="0" applyFont="1" applyFill="1" applyBorder="1" applyProtection="1"/>
    <xf numFmtId="0" fontId="0" fillId="0" borderId="39" xfId="0" applyBorder="1" applyProtection="1">
      <protection locked="0"/>
    </xf>
    <xf numFmtId="0" fontId="0" fillId="0" borderId="39" xfId="0" applyBorder="1" applyAlignment="1" applyProtection="1">
      <alignment horizontal="center"/>
    </xf>
    <xf numFmtId="0" fontId="1" fillId="0" borderId="4" xfId="0" applyFont="1" applyBorder="1" applyAlignment="1" applyProtection="1">
      <alignment horizontal="center"/>
    </xf>
    <xf numFmtId="0" fontId="0" fillId="3" borderId="40" xfId="0" applyFill="1" applyBorder="1" applyProtection="1">
      <protection locked="0"/>
    </xf>
    <xf numFmtId="0" fontId="15" fillId="0" borderId="19" xfId="0" applyFont="1" applyBorder="1" applyAlignment="1" applyProtection="1">
      <alignment horizontal="center"/>
    </xf>
    <xf numFmtId="0" fontId="2" fillId="0" borderId="5" xfId="0" applyFont="1" applyFill="1" applyBorder="1" applyAlignment="1" applyProtection="1"/>
    <xf numFmtId="0" fontId="2" fillId="0" borderId="0" xfId="0" applyFont="1" applyFill="1" applyBorder="1" applyAlignment="1" applyProtection="1"/>
    <xf numFmtId="0" fontId="0" fillId="0" borderId="1" xfId="0" applyBorder="1" applyProtection="1">
      <protection locked="0"/>
    </xf>
    <xf numFmtId="0" fontId="15" fillId="0" borderId="0" xfId="0" applyFont="1" applyAlignment="1" applyProtection="1">
      <alignment horizontal="center"/>
      <protection locked="0"/>
    </xf>
    <xf numFmtId="0" fontId="0" fillId="0" borderId="4" xfId="0" applyFill="1" applyBorder="1" applyProtection="1">
      <protection locked="0"/>
    </xf>
    <xf numFmtId="0" fontId="0" fillId="0" borderId="0" xfId="0" applyFill="1" applyProtection="1">
      <protection locked="0"/>
    </xf>
    <xf numFmtId="0" fontId="0" fillId="0" borderId="28" xfId="0" applyFill="1" applyBorder="1" applyProtection="1">
      <protection locked="0"/>
    </xf>
    <xf numFmtId="0" fontId="2" fillId="0" borderId="4" xfId="0" applyFont="1" applyBorder="1" applyAlignment="1" applyProtection="1">
      <protection locked="0"/>
    </xf>
    <xf numFmtId="0" fontId="9" fillId="9" borderId="0" xfId="0" applyFont="1" applyFill="1" applyProtection="1"/>
    <xf numFmtId="0" fontId="9" fillId="0" borderId="0" xfId="0" applyFont="1" applyFill="1" applyProtection="1"/>
    <xf numFmtId="1" fontId="9" fillId="0" borderId="0" xfId="0" applyNumberFormat="1" applyFont="1" applyProtection="1"/>
    <xf numFmtId="164" fontId="9" fillId="0" borderId="0" xfId="0" applyNumberFormat="1" applyFont="1" applyProtection="1"/>
    <xf numFmtId="168" fontId="9" fillId="0" borderId="0" xfId="0" applyNumberFormat="1" applyFont="1" applyProtection="1"/>
    <xf numFmtId="165" fontId="9" fillId="0" borderId="0" xfId="0" applyNumberFormat="1" applyFont="1" applyFill="1" applyProtection="1"/>
    <xf numFmtId="166" fontId="9" fillId="0" borderId="0" xfId="0" applyNumberFormat="1" applyFont="1" applyProtection="1"/>
    <xf numFmtId="169" fontId="9" fillId="0" borderId="0" xfId="0" applyNumberFormat="1" applyFont="1" applyProtection="1"/>
    <xf numFmtId="11" fontId="9" fillId="0" borderId="0" xfId="0" applyNumberFormat="1" applyFont="1" applyFill="1" applyProtection="1"/>
    <xf numFmtId="168" fontId="9" fillId="2" borderId="0" xfId="0" applyNumberFormat="1" applyFont="1" applyFill="1" applyBorder="1" applyProtection="1"/>
    <xf numFmtId="165" fontId="10" fillId="0" borderId="0" xfId="0" applyNumberFormat="1" applyFont="1" applyProtection="1"/>
    <xf numFmtId="165" fontId="10" fillId="0" borderId="0" xfId="0" applyNumberFormat="1" applyFont="1" applyFill="1" applyProtection="1"/>
    <xf numFmtId="2" fontId="10" fillId="0" borderId="0" xfId="0" applyNumberFormat="1" applyFont="1" applyProtection="1"/>
    <xf numFmtId="167" fontId="9" fillId="0" borderId="0" xfId="0" applyNumberFormat="1" applyFont="1" applyProtection="1"/>
    <xf numFmtId="0" fontId="1" fillId="0" borderId="1"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6" fillId="0" borderId="4" xfId="0" applyFont="1" applyBorder="1" applyAlignment="1" applyProtection="1">
      <alignment horizontal="center"/>
    </xf>
    <xf numFmtId="0" fontId="16" fillId="0" borderId="0" xfId="0" applyFont="1" applyBorder="1" applyAlignment="1" applyProtection="1">
      <alignment horizontal="center"/>
    </xf>
    <xf numFmtId="0" fontId="16" fillId="0" borderId="5" xfId="0" applyFont="1" applyBorder="1" applyAlignment="1" applyProtection="1">
      <alignment horizontal="center"/>
    </xf>
    <xf numFmtId="0" fontId="1" fillId="0" borderId="26" xfId="0" applyFont="1" applyBorder="1" applyAlignment="1" applyProtection="1">
      <alignment horizontal="center"/>
    </xf>
    <xf numFmtId="0" fontId="1" fillId="0" borderId="27" xfId="0" applyFont="1" applyBorder="1" applyAlignment="1" applyProtection="1">
      <alignment horizontal="center"/>
    </xf>
    <xf numFmtId="0" fontId="1" fillId="0" borderId="1" xfId="0" applyFont="1" applyBorder="1" applyAlignment="1" applyProtection="1">
      <alignment horizontal="center"/>
    </xf>
    <xf numFmtId="0" fontId="1" fillId="0" borderId="3" xfId="0" applyFont="1" applyBorder="1" applyAlignment="1" applyProtection="1">
      <alignment horizontal="center"/>
    </xf>
    <xf numFmtId="0" fontId="8" fillId="0" borderId="1" xfId="0" applyFont="1" applyBorder="1" applyAlignment="1" applyProtection="1">
      <alignment horizontal="center"/>
    </xf>
    <xf numFmtId="0" fontId="8" fillId="0" borderId="3" xfId="0" applyFont="1" applyBorder="1" applyAlignment="1" applyProtection="1">
      <alignment horizontal="center"/>
    </xf>
    <xf numFmtId="0" fontId="27" fillId="0" borderId="1" xfId="0" applyFont="1" applyFill="1" applyBorder="1" applyAlignment="1" applyProtection="1">
      <alignment horizontal="center"/>
    </xf>
    <xf numFmtId="0" fontId="27" fillId="0" borderId="3" xfId="0" applyFont="1" applyFill="1" applyBorder="1" applyAlignment="1" applyProtection="1">
      <alignment horizontal="center"/>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1" fillId="0" borderId="14" xfId="0" applyFont="1" applyBorder="1" applyAlignment="1" applyProtection="1">
      <alignment horizontal="center"/>
    </xf>
    <xf numFmtId="0" fontId="0" fillId="0" borderId="0" xfId="0" applyBorder="1" applyAlignment="1" applyProtection="1">
      <alignment horizontal="left"/>
      <protection locked="0"/>
    </xf>
    <xf numFmtId="0" fontId="11" fillId="4" borderId="9" xfId="0" applyFont="1" applyFill="1" applyBorder="1" applyAlignment="1" applyProtection="1">
      <alignment horizontal="center"/>
    </xf>
    <xf numFmtId="0" fontId="11" fillId="4" borderId="20" xfId="0" applyFont="1" applyFill="1" applyBorder="1" applyAlignment="1" applyProtection="1">
      <alignment horizontal="center"/>
    </xf>
    <xf numFmtId="0" fontId="11" fillId="4" borderId="10"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0" xfId="0" applyFont="1" applyFill="1" applyBorder="1" applyAlignment="1" applyProtection="1">
      <alignment horizontal="center"/>
    </xf>
    <xf numFmtId="0" fontId="14" fillId="2" borderId="1" xfId="0" applyFont="1" applyFill="1" applyBorder="1" applyAlignment="1" applyProtection="1">
      <alignment horizontal="center"/>
    </xf>
    <xf numFmtId="0" fontId="14" fillId="2" borderId="2" xfId="0" applyFont="1" applyFill="1" applyBorder="1" applyAlignment="1" applyProtection="1">
      <alignment horizontal="center"/>
    </xf>
    <xf numFmtId="0" fontId="26" fillId="0" borderId="0" xfId="0" applyFont="1" applyBorder="1" applyAlignment="1" applyProtection="1">
      <alignment horizontal="center"/>
    </xf>
    <xf numFmtId="0" fontId="9" fillId="5" borderId="4" xfId="0" applyFont="1" applyFill="1" applyBorder="1" applyAlignment="1" applyProtection="1">
      <alignment horizontal="center"/>
    </xf>
    <xf numFmtId="0" fontId="9" fillId="5" borderId="0" xfId="0" applyFont="1" applyFill="1" applyBorder="1" applyAlignment="1" applyProtection="1">
      <alignment horizontal="center"/>
    </xf>
    <xf numFmtId="0" fontId="9" fillId="5" borderId="5" xfId="0" applyFont="1" applyFill="1" applyBorder="1" applyAlignment="1" applyProtection="1">
      <alignment horizontal="center"/>
    </xf>
  </cellXfs>
  <cellStyles count="6">
    <cellStyle name="Normal" xfId="0" builtinId="0"/>
    <cellStyle name="Normal 12" xfId="2" xr:uid="{00000000-0005-0000-0000-000001000000}"/>
    <cellStyle name="Normal 3 2" xfId="3" xr:uid="{00000000-0005-0000-0000-000002000000}"/>
    <cellStyle name="Normal 6 2" xfId="4" xr:uid="{00000000-0005-0000-0000-000003000000}"/>
    <cellStyle name="Normal 6 3" xfId="5" xr:uid="{00000000-0005-0000-0000-000004000000}"/>
    <cellStyle name="Normal 7 2" xfId="1" xr:uid="{00000000-0005-0000-0000-000005000000}"/>
  </cellStyles>
  <dxfs count="64">
    <dxf>
      <font>
        <color theme="0"/>
      </font>
    </dxf>
    <dxf>
      <font>
        <strike val="0"/>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theme="0"/>
      </font>
    </dxf>
    <dxf>
      <font>
        <b/>
        <i val="0"/>
        <color theme="0"/>
      </font>
    </dxf>
    <dxf>
      <font>
        <b/>
        <i val="0"/>
        <color theme="0"/>
      </font>
    </dxf>
    <dxf>
      <font>
        <b/>
        <i val="0"/>
        <color theme="0"/>
      </font>
    </dxf>
    <dxf>
      <font>
        <color theme="0" tint="-4.9989318521683403E-2"/>
      </font>
    </dxf>
    <dxf>
      <font>
        <color theme="0" tint="-4.9989318521683403E-2"/>
      </font>
    </dxf>
    <dxf>
      <font>
        <color theme="0" tint="-4.9989318521683403E-2"/>
      </font>
    </dxf>
    <dxf>
      <font>
        <color theme="2"/>
      </font>
    </dxf>
    <dxf>
      <font>
        <strike val="0"/>
        <color theme="2"/>
      </font>
    </dxf>
    <dxf>
      <font>
        <color theme="0" tint="-4.9989318521683403E-2"/>
      </font>
    </dxf>
    <dxf>
      <font>
        <color theme="4" tint="0.7999816888943144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0" tint="-4.9989318521683403E-2"/>
      </font>
    </dxf>
    <dxf>
      <font>
        <color theme="2" tint="-9.9948118533890809E-2"/>
      </font>
    </dxf>
    <dxf>
      <font>
        <color theme="0" tint="-4.9989318521683403E-2"/>
      </font>
    </dxf>
    <dxf>
      <font>
        <color theme="2" tint="-9.9948118533890809E-2"/>
      </font>
    </dxf>
    <dxf>
      <font>
        <color theme="0" tint="-4.9989318521683403E-2"/>
      </font>
    </dxf>
    <dxf>
      <font>
        <color theme="2" tint="-9.9948118533890809E-2"/>
      </font>
    </dxf>
    <dxf>
      <font>
        <color theme="0" tint="-4.9989318521683403E-2"/>
      </font>
    </dxf>
    <dxf>
      <font>
        <color theme="2" tint="-9.9948118533890809E-2"/>
      </font>
    </dxf>
    <dxf>
      <font>
        <color theme="0" tint="-4.9989318521683403E-2"/>
      </font>
    </dxf>
    <dxf>
      <font>
        <color theme="0" tint="-4.9989318521683403E-2"/>
      </font>
    </dxf>
    <dxf>
      <font>
        <color theme="2" tint="-9.9948118533890809E-2"/>
      </font>
    </dxf>
    <dxf>
      <font>
        <color theme="0" tint="-4.9989318521683403E-2"/>
      </font>
    </dxf>
    <dxf>
      <font>
        <color theme="0"/>
      </font>
    </dxf>
    <dxf>
      <font>
        <color theme="0" tint="-4.9989318521683403E-2"/>
      </font>
    </dxf>
    <dxf>
      <font>
        <strike val="0"/>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s>
  <tableStyles count="0" defaultTableStyle="TableStyleMedium2" defaultPivotStyle="PivotStyleLight16"/>
  <colors>
    <mruColors>
      <color rgb="FF023A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Noise Figure </a:t>
            </a:r>
          </a:p>
        </c:rich>
      </c:tx>
      <c:layout>
        <c:manualLayout>
          <c:xMode val="edge"/>
          <c:yMode val="edge"/>
          <c:x val="0.35624574705939543"/>
          <c:y val="5.00227376080036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N.F.</c:v>
          </c:tx>
          <c:spPr>
            <a:ln w="19050" cap="rnd">
              <a:solidFill>
                <a:schemeClr val="accent1"/>
              </a:solidFill>
              <a:round/>
            </a:ln>
            <a:effectLst/>
          </c:spPr>
          <c:marker>
            <c:symbol val="square"/>
            <c:size val="5"/>
            <c:spPr>
              <a:solidFill>
                <a:schemeClr val="accent1"/>
              </a:solidFill>
              <a:ln w="9525">
                <a:solidFill>
                  <a:schemeClr val="accent1"/>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Result!$D$5:$D$106</c:f>
              <c:numCache>
                <c:formatCode>0.00</c:formatCode>
                <c:ptCount val="102"/>
                <c:pt idx="0">
                  <c:v>4.0000000000000018</c:v>
                </c:pt>
                <c:pt idx="1">
                  <c:v>4.0000000000000027</c:v>
                </c:pt>
                <c:pt idx="2">
                  <c:v>4.0000000000000027</c:v>
                </c:pt>
                <c:pt idx="3">
                  <c:v>4.0000000000000027</c:v>
                </c:pt>
                <c:pt idx="4">
                  <c:v>4.0000000000000018</c:v>
                </c:pt>
                <c:pt idx="5">
                  <c:v>4.0000000000000009</c:v>
                </c:pt>
                <c:pt idx="6">
                  <c:v>4.0000000000000018</c:v>
                </c:pt>
                <c:pt idx="7">
                  <c:v>4.0000000000000018</c:v>
                </c:pt>
                <c:pt idx="8">
                  <c:v>4</c:v>
                </c:pt>
                <c:pt idx="9">
                  <c:v>4.0000000000000009</c:v>
                </c:pt>
                <c:pt idx="10">
                  <c:v>4.0000000000000027</c:v>
                </c:pt>
                <c:pt idx="11">
                  <c:v>4.0000000000000027</c:v>
                </c:pt>
                <c:pt idx="12">
                  <c:v>4.0000000000000027</c:v>
                </c:pt>
                <c:pt idx="13">
                  <c:v>3.9999999999999991</c:v>
                </c:pt>
                <c:pt idx="14">
                  <c:v>3.9999999999999991</c:v>
                </c:pt>
                <c:pt idx="15">
                  <c:v>4.0000000000000027</c:v>
                </c:pt>
                <c:pt idx="16">
                  <c:v>4.0000000000000018</c:v>
                </c:pt>
                <c:pt idx="17">
                  <c:v>4.0000000000000018</c:v>
                </c:pt>
                <c:pt idx="18">
                  <c:v>3.9999999999999991</c:v>
                </c:pt>
                <c:pt idx="19">
                  <c:v>3.9999999999999991</c:v>
                </c:pt>
                <c:pt idx="20">
                  <c:v>4.0000000000000018</c:v>
                </c:pt>
                <c:pt idx="21">
                  <c:v>4</c:v>
                </c:pt>
                <c:pt idx="22">
                  <c:v>4.0000000000000009</c:v>
                </c:pt>
                <c:pt idx="23">
                  <c:v>4.0000000000000018</c:v>
                </c:pt>
                <c:pt idx="24">
                  <c:v>4</c:v>
                </c:pt>
                <c:pt idx="25">
                  <c:v>4.0000000000000018</c:v>
                </c:pt>
                <c:pt idx="26">
                  <c:v>4.0000000000000018</c:v>
                </c:pt>
                <c:pt idx="27">
                  <c:v>4.0000000000000018</c:v>
                </c:pt>
                <c:pt idx="28">
                  <c:v>4.0000000000000009</c:v>
                </c:pt>
                <c:pt idx="29">
                  <c:v>4</c:v>
                </c:pt>
                <c:pt idx="30">
                  <c:v>4</c:v>
                </c:pt>
                <c:pt idx="31">
                  <c:v>4.0000000000000027</c:v>
                </c:pt>
                <c:pt idx="32">
                  <c:v>3.9999999999999991</c:v>
                </c:pt>
                <c:pt idx="33">
                  <c:v>4</c:v>
                </c:pt>
                <c:pt idx="34">
                  <c:v>4.0000000000000009</c:v>
                </c:pt>
                <c:pt idx="35">
                  <c:v>3.9999999999999991</c:v>
                </c:pt>
                <c:pt idx="36">
                  <c:v>3.9999999999999991</c:v>
                </c:pt>
                <c:pt idx="37">
                  <c:v>4.0000000000000027</c:v>
                </c:pt>
                <c:pt idx="38">
                  <c:v>4</c:v>
                </c:pt>
                <c:pt idx="39">
                  <c:v>4</c:v>
                </c:pt>
                <c:pt idx="40">
                  <c:v>4.0000000000000018</c:v>
                </c:pt>
                <c:pt idx="41">
                  <c:v>4.0000000000000027</c:v>
                </c:pt>
                <c:pt idx="42">
                  <c:v>4.0000000000000018</c:v>
                </c:pt>
                <c:pt idx="43">
                  <c:v>4.0000000000000018</c:v>
                </c:pt>
                <c:pt idx="44">
                  <c:v>4.0000000000000018</c:v>
                </c:pt>
                <c:pt idx="45">
                  <c:v>4.0000000000000018</c:v>
                </c:pt>
                <c:pt idx="46">
                  <c:v>4.0000000000000027</c:v>
                </c:pt>
                <c:pt idx="47">
                  <c:v>4.0000000000000018</c:v>
                </c:pt>
                <c:pt idx="48">
                  <c:v>4.0000000000000018</c:v>
                </c:pt>
                <c:pt idx="49">
                  <c:v>4</c:v>
                </c:pt>
                <c:pt idx="50">
                  <c:v>4.0000000000000009</c:v>
                </c:pt>
                <c:pt idx="51">
                  <c:v>4.0000000000000027</c:v>
                </c:pt>
                <c:pt idx="52">
                  <c:v>4.0000000000000027</c:v>
                </c:pt>
                <c:pt idx="53">
                  <c:v>4.0000000000000027</c:v>
                </c:pt>
                <c:pt idx="54">
                  <c:v>4.0000000000000027</c:v>
                </c:pt>
                <c:pt idx="55">
                  <c:v>4.0000000000000027</c:v>
                </c:pt>
                <c:pt idx="56">
                  <c:v>4.0000000000000027</c:v>
                </c:pt>
                <c:pt idx="57">
                  <c:v>4.0000000000000027</c:v>
                </c:pt>
                <c:pt idx="58">
                  <c:v>4.0000000000000027</c:v>
                </c:pt>
                <c:pt idx="59">
                  <c:v>4.0000000000000027</c:v>
                </c:pt>
                <c:pt idx="60">
                  <c:v>4.0000000000000027</c:v>
                </c:pt>
                <c:pt idx="61">
                  <c:v>4.0000000000000027</c:v>
                </c:pt>
                <c:pt idx="62">
                  <c:v>4.0000000000000027</c:v>
                </c:pt>
                <c:pt idx="63">
                  <c:v>4.0000000000000027</c:v>
                </c:pt>
                <c:pt idx="64">
                  <c:v>4.0000000000000027</c:v>
                </c:pt>
                <c:pt idx="65">
                  <c:v>4.0000000000000027</c:v>
                </c:pt>
                <c:pt idx="66">
                  <c:v>4.0000000000000027</c:v>
                </c:pt>
                <c:pt idx="67">
                  <c:v>4.0000000000000027</c:v>
                </c:pt>
                <c:pt idx="68">
                  <c:v>4.0000000000000027</c:v>
                </c:pt>
                <c:pt idx="69">
                  <c:v>4.0000000000000027</c:v>
                </c:pt>
                <c:pt idx="70">
                  <c:v>4.0000000000000027</c:v>
                </c:pt>
                <c:pt idx="71">
                  <c:v>4.0000000000000027</c:v>
                </c:pt>
                <c:pt idx="72">
                  <c:v>4.0000000000000027</c:v>
                </c:pt>
                <c:pt idx="73">
                  <c:v>4.0000000000000027</c:v>
                </c:pt>
                <c:pt idx="74">
                  <c:v>4.0000000000000027</c:v>
                </c:pt>
                <c:pt idx="75">
                  <c:v>4.0000000000000027</c:v>
                </c:pt>
                <c:pt idx="76">
                  <c:v>4.0000000000000027</c:v>
                </c:pt>
                <c:pt idx="77">
                  <c:v>4.0000000000000027</c:v>
                </c:pt>
                <c:pt idx="78">
                  <c:v>4.0000000000000027</c:v>
                </c:pt>
                <c:pt idx="79">
                  <c:v>4.0000000000000027</c:v>
                </c:pt>
                <c:pt idx="80">
                  <c:v>4.0000000000000027</c:v>
                </c:pt>
                <c:pt idx="81">
                  <c:v>4.0000000000000027</c:v>
                </c:pt>
                <c:pt idx="82">
                  <c:v>4.0000000000000027</c:v>
                </c:pt>
                <c:pt idx="83">
                  <c:v>4.0000000000000027</c:v>
                </c:pt>
                <c:pt idx="84">
                  <c:v>4.0000000000000027</c:v>
                </c:pt>
                <c:pt idx="85">
                  <c:v>4.0000000000000027</c:v>
                </c:pt>
                <c:pt idx="86">
                  <c:v>4.0000000000000027</c:v>
                </c:pt>
                <c:pt idx="87">
                  <c:v>4.0000000000000027</c:v>
                </c:pt>
                <c:pt idx="88">
                  <c:v>4.0000000000000027</c:v>
                </c:pt>
                <c:pt idx="89">
                  <c:v>4.0000000000000027</c:v>
                </c:pt>
                <c:pt idx="90">
                  <c:v>4.0000000000000027</c:v>
                </c:pt>
                <c:pt idx="91">
                  <c:v>4.0000000000000027</c:v>
                </c:pt>
                <c:pt idx="92">
                  <c:v>4.0000000000000027</c:v>
                </c:pt>
                <c:pt idx="93">
                  <c:v>4.0000000000000027</c:v>
                </c:pt>
                <c:pt idx="94">
                  <c:v>4.0000000000000027</c:v>
                </c:pt>
                <c:pt idx="95">
                  <c:v>4.0000000000000027</c:v>
                </c:pt>
                <c:pt idx="96">
                  <c:v>4.0000000000000027</c:v>
                </c:pt>
                <c:pt idx="97">
                  <c:v>4.0000000000000027</c:v>
                </c:pt>
                <c:pt idx="98">
                  <c:v>4.0000000000000027</c:v>
                </c:pt>
                <c:pt idx="99">
                  <c:v>4.0000000000000027</c:v>
                </c:pt>
                <c:pt idx="100">
                  <c:v>4.0000000000000027</c:v>
                </c:pt>
                <c:pt idx="101">
                  <c:v>4.0000000000000027</c:v>
                </c:pt>
              </c:numCache>
            </c:numRef>
          </c:yVal>
          <c:smooth val="0"/>
          <c:extLst>
            <c:ext xmlns:c16="http://schemas.microsoft.com/office/drawing/2014/chart" uri="{C3380CC4-5D6E-409C-BE32-E72D297353CC}">
              <c16:uniqueId val="{00000001-8ED3-4530-BDA2-FE82D6E3E50D}"/>
            </c:ext>
          </c:extLst>
        </c:ser>
        <c:ser>
          <c:idx val="1"/>
          <c:order val="1"/>
          <c:tx>
            <c:v>+ Uncertainty</c:v>
          </c:tx>
          <c:spPr>
            <a:ln w="19050" cap="rnd">
              <a:solidFill>
                <a:schemeClr val="accent2"/>
              </a:solidFill>
              <a:round/>
            </a:ln>
            <a:effectLst/>
          </c:spPr>
          <c:marker>
            <c:symbol val="plus"/>
            <c:size val="5"/>
            <c:spPr>
              <a:noFill/>
              <a:ln w="9525">
                <a:solidFill>
                  <a:schemeClr val="accent1"/>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Result!$E$5:$E$106</c:f>
              <c:numCache>
                <c:formatCode>0.00</c:formatCode>
                <c:ptCount val="102"/>
                <c:pt idx="0">
                  <c:v>4.2293127487611395</c:v>
                </c:pt>
                <c:pt idx="1">
                  <c:v>4.2293133399121361</c:v>
                </c:pt>
                <c:pt idx="2">
                  <c:v>4.2293139126721782</c:v>
                </c:pt>
                <c:pt idx="3">
                  <c:v>4.2293144676133227</c:v>
                </c:pt>
                <c:pt idx="4">
                  <c:v>4.2293178229729289</c:v>
                </c:pt>
                <c:pt idx="5">
                  <c:v>4.2293162361633163</c:v>
                </c:pt>
                <c:pt idx="6">
                  <c:v>4.2293167187916412</c:v>
                </c:pt>
                <c:pt idx="7">
                  <c:v>4.2293171864063845</c:v>
                </c:pt>
                <c:pt idx="8">
                  <c:v>4.2293206993493335</c:v>
                </c:pt>
                <c:pt idx="9">
                  <c:v>4.2293229134724717</c:v>
                </c:pt>
                <c:pt idx="10">
                  <c:v>4.2293232836903396</c:v>
                </c:pt>
                <c:pt idx="11">
                  <c:v>4.2293236423962393</c:v>
                </c:pt>
                <c:pt idx="12">
                  <c:v>4.2293171765371902</c:v>
                </c:pt>
                <c:pt idx="13">
                  <c:v>4.2293175135510275</c:v>
                </c:pt>
                <c:pt idx="14">
                  <c:v>4.2293178400847591</c:v>
                </c:pt>
                <c:pt idx="15">
                  <c:v>4.2293173399702608</c:v>
                </c:pt>
                <c:pt idx="16">
                  <c:v>4.2293176719489072</c:v>
                </c:pt>
                <c:pt idx="17">
                  <c:v>4.2293179936010485</c:v>
                </c:pt>
                <c:pt idx="18">
                  <c:v>4.2293183052477996</c:v>
                </c:pt>
                <c:pt idx="19">
                  <c:v>4.2293186072003062</c:v>
                </c:pt>
                <c:pt idx="20">
                  <c:v>4.2293188997600399</c:v>
                </c:pt>
                <c:pt idx="21">
                  <c:v>4.2293191832190882</c:v>
                </c:pt>
                <c:pt idx="22">
                  <c:v>4.229319457860484</c:v>
                </c:pt>
                <c:pt idx="23">
                  <c:v>4.2293197239584464</c:v>
                </c:pt>
                <c:pt idx="24">
                  <c:v>4.2293199817786746</c:v>
                </c:pt>
                <c:pt idx="25">
                  <c:v>4.2293225194039019</c:v>
                </c:pt>
                <c:pt idx="26">
                  <c:v>4.2293226901571419</c:v>
                </c:pt>
                <c:pt idx="27">
                  <c:v>4.2293228556044484</c:v>
                </c:pt>
                <c:pt idx="28">
                  <c:v>4.2293230159104782</c:v>
                </c:pt>
                <c:pt idx="29">
                  <c:v>4.2293231712347961</c:v>
                </c:pt>
                <c:pt idx="30">
                  <c:v>4.229323321732025</c:v>
                </c:pt>
                <c:pt idx="31">
                  <c:v>4.2293234675520015</c:v>
                </c:pt>
                <c:pt idx="32">
                  <c:v>4.2293236088399153</c:v>
                </c:pt>
                <c:pt idx="33">
                  <c:v>4.2293237457364725</c:v>
                </c:pt>
                <c:pt idx="34">
                  <c:v>4.2293247720728218</c:v>
                </c:pt>
                <c:pt idx="35">
                  <c:v>4.2293316860634409</c:v>
                </c:pt>
                <c:pt idx="36">
                  <c:v>4.2293317833416291</c:v>
                </c:pt>
                <c:pt idx="37">
                  <c:v>4.2293318775990443</c:v>
                </c:pt>
                <c:pt idx="38">
                  <c:v>4.2293319689292943</c:v>
                </c:pt>
                <c:pt idx="39">
                  <c:v>4.2293320574231181</c:v>
                </c:pt>
                <c:pt idx="40">
                  <c:v>4.2293321431684445</c:v>
                </c:pt>
                <c:pt idx="41">
                  <c:v>4.2293322262504853</c:v>
                </c:pt>
                <c:pt idx="42">
                  <c:v>4.2293342848803297</c:v>
                </c:pt>
                <c:pt idx="43">
                  <c:v>4.2293343012315257</c:v>
                </c:pt>
                <c:pt idx="44">
                  <c:v>4.2293343170839153</c:v>
                </c:pt>
                <c:pt idx="45">
                  <c:v>4.2293343324524111</c:v>
                </c:pt>
                <c:pt idx="46">
                  <c:v>4.2293343473514931</c:v>
                </c:pt>
                <c:pt idx="47">
                  <c:v>4.2293343617952281</c:v>
                </c:pt>
                <c:pt idx="48">
                  <c:v>4.2293387928156374</c:v>
                </c:pt>
                <c:pt idx="49">
                  <c:v>4.2293386686136998</c:v>
                </c:pt>
                <c:pt idx="50">
                  <c:v>4.2293385483038861</c:v>
                </c:pt>
                <c:pt idx="51">
                  <c:v>4.2293385483036632</c:v>
                </c:pt>
                <c:pt idx="52">
                  <c:v>4.2293385483036632</c:v>
                </c:pt>
                <c:pt idx="53">
                  <c:v>4.2293385483036632</c:v>
                </c:pt>
                <c:pt idx="54">
                  <c:v>4.2293385483036632</c:v>
                </c:pt>
                <c:pt idx="55">
                  <c:v>4.2293385483036632</c:v>
                </c:pt>
                <c:pt idx="56">
                  <c:v>4.2293385483036632</c:v>
                </c:pt>
                <c:pt idx="57">
                  <c:v>4.2293385483036632</c:v>
                </c:pt>
                <c:pt idx="58">
                  <c:v>4.2293385483036632</c:v>
                </c:pt>
                <c:pt idx="59">
                  <c:v>4.2293385483036632</c:v>
                </c:pt>
                <c:pt idx="60">
                  <c:v>4.2293385483036632</c:v>
                </c:pt>
                <c:pt idx="61">
                  <c:v>4.2293385483036632</c:v>
                </c:pt>
                <c:pt idx="62">
                  <c:v>4.2293385483036632</c:v>
                </c:pt>
                <c:pt idx="63">
                  <c:v>4.2293385483036632</c:v>
                </c:pt>
                <c:pt idx="64">
                  <c:v>4.2293385483036632</c:v>
                </c:pt>
                <c:pt idx="65">
                  <c:v>4.2293385483036632</c:v>
                </c:pt>
                <c:pt idx="66">
                  <c:v>4.2293385483036632</c:v>
                </c:pt>
                <c:pt idx="67">
                  <c:v>4.2293385483036632</c:v>
                </c:pt>
                <c:pt idx="68">
                  <c:v>4.2293385483036632</c:v>
                </c:pt>
                <c:pt idx="69">
                  <c:v>4.2293385483036632</c:v>
                </c:pt>
                <c:pt idx="70">
                  <c:v>4.2293385483036632</c:v>
                </c:pt>
                <c:pt idx="71">
                  <c:v>4.2293385483036632</c:v>
                </c:pt>
                <c:pt idx="72">
                  <c:v>4.2293385483036632</c:v>
                </c:pt>
                <c:pt idx="73">
                  <c:v>4.2293385483036632</c:v>
                </c:pt>
                <c:pt idx="74">
                  <c:v>4.2293385483036632</c:v>
                </c:pt>
                <c:pt idx="75">
                  <c:v>4.2293385483036632</c:v>
                </c:pt>
                <c:pt idx="76">
                  <c:v>4.2293385483036632</c:v>
                </c:pt>
                <c:pt idx="77">
                  <c:v>4.2293385483036632</c:v>
                </c:pt>
                <c:pt idx="78">
                  <c:v>4.2293385483036632</c:v>
                </c:pt>
                <c:pt idx="79">
                  <c:v>4.2293385483036632</c:v>
                </c:pt>
                <c:pt idx="80">
                  <c:v>4.2293385483036632</c:v>
                </c:pt>
                <c:pt idx="81">
                  <c:v>4.2293385483036632</c:v>
                </c:pt>
                <c:pt idx="82">
                  <c:v>4.2293385483036632</c:v>
                </c:pt>
                <c:pt idx="83">
                  <c:v>4.2293385483036632</c:v>
                </c:pt>
                <c:pt idx="84">
                  <c:v>4.2293385483036632</c:v>
                </c:pt>
                <c:pt idx="85">
                  <c:v>4.2293385483036632</c:v>
                </c:pt>
                <c:pt idx="86">
                  <c:v>4.2293385483036632</c:v>
                </c:pt>
                <c:pt idx="87">
                  <c:v>4.2293385483036632</c:v>
                </c:pt>
                <c:pt idx="88">
                  <c:v>4.2293385483036632</c:v>
                </c:pt>
                <c:pt idx="89">
                  <c:v>4.2293385483036632</c:v>
                </c:pt>
                <c:pt idx="90">
                  <c:v>4.2293385483036632</c:v>
                </c:pt>
                <c:pt idx="91">
                  <c:v>4.2293385483036632</c:v>
                </c:pt>
                <c:pt idx="92">
                  <c:v>4.2293385483036632</c:v>
                </c:pt>
                <c:pt idx="93">
                  <c:v>4.2293385483036632</c:v>
                </c:pt>
                <c:pt idx="94">
                  <c:v>4.2293385483036632</c:v>
                </c:pt>
                <c:pt idx="95">
                  <c:v>4.2293385483036632</c:v>
                </c:pt>
                <c:pt idx="96">
                  <c:v>4.2293385483036632</c:v>
                </c:pt>
                <c:pt idx="97">
                  <c:v>4.2293385483036632</c:v>
                </c:pt>
                <c:pt idx="98">
                  <c:v>4.2293385483036632</c:v>
                </c:pt>
                <c:pt idx="99">
                  <c:v>4.2293385483036632</c:v>
                </c:pt>
                <c:pt idx="100">
                  <c:v>4.2293385483036632</c:v>
                </c:pt>
                <c:pt idx="101">
                  <c:v>4.2293385483036632</c:v>
                </c:pt>
              </c:numCache>
            </c:numRef>
          </c:yVal>
          <c:smooth val="0"/>
          <c:extLst>
            <c:ext xmlns:c16="http://schemas.microsoft.com/office/drawing/2014/chart" uri="{C3380CC4-5D6E-409C-BE32-E72D297353CC}">
              <c16:uniqueId val="{00000002-8ED3-4530-BDA2-FE82D6E3E50D}"/>
            </c:ext>
          </c:extLst>
        </c:ser>
        <c:ser>
          <c:idx val="2"/>
          <c:order val="2"/>
          <c:tx>
            <c:v>- Uncertainty</c:v>
          </c:tx>
          <c:spPr>
            <a:ln w="19050" cap="rnd">
              <a:solidFill>
                <a:schemeClr val="accent2"/>
              </a:solidFill>
              <a:prstDash val="solid"/>
              <a:round/>
            </a:ln>
            <a:effectLst/>
          </c:spPr>
          <c:marker>
            <c:symbol val="dot"/>
            <c:size val="5"/>
            <c:spPr>
              <a:noFill/>
              <a:ln w="9525">
                <a:solidFill>
                  <a:schemeClr val="accent1"/>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Result!$F$5:$F$106</c:f>
              <c:numCache>
                <c:formatCode>0.00</c:formatCode>
                <c:ptCount val="102"/>
                <c:pt idx="0">
                  <c:v>3.7579009945858068</c:v>
                </c:pt>
                <c:pt idx="1">
                  <c:v>3.7579003356552283</c:v>
                </c:pt>
                <c:pt idx="2">
                  <c:v>3.7578996972240737</c:v>
                </c:pt>
                <c:pt idx="3">
                  <c:v>3.7578990786547068</c:v>
                </c:pt>
                <c:pt idx="4">
                  <c:v>3.757895338574071</c:v>
                </c:pt>
                <c:pt idx="5">
                  <c:v>3.7578971073259044</c:v>
                </c:pt>
                <c:pt idx="6">
                  <c:v>3.757896569359978</c:v>
                </c:pt>
                <c:pt idx="7">
                  <c:v>3.7578960481289512</c:v>
                </c:pt>
                <c:pt idx="8">
                  <c:v>3.7578921323913401</c:v>
                </c:pt>
                <c:pt idx="9">
                  <c:v>3.7578896643930144</c:v>
                </c:pt>
                <c:pt idx="10">
                  <c:v>3.7578892517250688</c:v>
                </c:pt>
                <c:pt idx="11">
                  <c:v>3.7578888518890059</c:v>
                </c:pt>
                <c:pt idx="12">
                  <c:v>3.7578960591297417</c:v>
                </c:pt>
                <c:pt idx="13">
                  <c:v>3.7578956834741235</c:v>
                </c:pt>
                <c:pt idx="14">
                  <c:v>3.7578953195002009</c:v>
                </c:pt>
                <c:pt idx="15">
                  <c:v>3.7578958769575572</c:v>
                </c:pt>
                <c:pt idx="16">
                  <c:v>3.7578955069144353</c:v>
                </c:pt>
                <c:pt idx="17">
                  <c:v>3.7578951483817962</c:v>
                </c:pt>
                <c:pt idx="18">
                  <c:v>3.7578948010017021</c:v>
                </c:pt>
                <c:pt idx="19">
                  <c:v>3.7578944644273475</c:v>
                </c:pt>
                <c:pt idx="20">
                  <c:v>3.7578941383227016</c:v>
                </c:pt>
                <c:pt idx="21">
                  <c:v>3.7578938223621683</c:v>
                </c:pt>
                <c:pt idx="22">
                  <c:v>3.7578935162302871</c:v>
                </c:pt>
                <c:pt idx="23">
                  <c:v>3.7578932196213937</c:v>
                </c:pt>
                <c:pt idx="24">
                  <c:v>3.7578929322393222</c:v>
                </c:pt>
                <c:pt idx="25">
                  <c:v>3.7578901036463641</c:v>
                </c:pt>
                <c:pt idx="26">
                  <c:v>3.757889913314187</c:v>
                </c:pt>
                <c:pt idx="27">
                  <c:v>3.7578897288963202</c:v>
                </c:pt>
                <c:pt idx="28">
                  <c:v>3.7578895502092231</c:v>
                </c:pt>
                <c:pt idx="29">
                  <c:v>3.7578893770750414</c:v>
                </c:pt>
                <c:pt idx="30">
                  <c:v>3.7578892093214216</c:v>
                </c:pt>
                <c:pt idx="31">
                  <c:v>3.7578890467813526</c:v>
                </c:pt>
                <c:pt idx="32">
                  <c:v>3.7578888892929823</c:v>
                </c:pt>
                <c:pt idx="33">
                  <c:v>3.757888736699492</c:v>
                </c:pt>
                <c:pt idx="34">
                  <c:v>3.7578875926802766</c:v>
                </c:pt>
                <c:pt idx="35">
                  <c:v>3.757879885895425</c:v>
                </c:pt>
                <c:pt idx="36">
                  <c:v>3.7578797774626258</c:v>
                </c:pt>
                <c:pt idx="37">
                  <c:v>3.7578796723969883</c:v>
                </c:pt>
                <c:pt idx="38">
                  <c:v>3.7578795705941466</c:v>
                </c:pt>
                <c:pt idx="39">
                  <c:v>3.7578794719529758</c:v>
                </c:pt>
                <c:pt idx="40">
                  <c:v>3.757879376375465</c:v>
                </c:pt>
                <c:pt idx="41">
                  <c:v>3.7578792837666306</c:v>
                </c:pt>
                <c:pt idx="42">
                  <c:v>3.7578769890779302</c:v>
                </c:pt>
                <c:pt idx="43">
                  <c:v>3.7578769708517665</c:v>
                </c:pt>
                <c:pt idx="44">
                  <c:v>3.7578769531816065</c:v>
                </c:pt>
                <c:pt idx="45">
                  <c:v>3.7578769360508297</c:v>
                </c:pt>
                <c:pt idx="46">
                  <c:v>3.7578769194432935</c:v>
                </c:pt>
                <c:pt idx="47">
                  <c:v>3.7578769033433144</c:v>
                </c:pt>
                <c:pt idx="48">
                  <c:v>3.7578719642189133</c:v>
                </c:pt>
                <c:pt idx="49">
                  <c:v>3.7578721026631987</c:v>
                </c:pt>
                <c:pt idx="50">
                  <c:v>3.7578722367690425</c:v>
                </c:pt>
                <c:pt idx="51">
                  <c:v>3.7578722367692938</c:v>
                </c:pt>
                <c:pt idx="52">
                  <c:v>3.7578722367692938</c:v>
                </c:pt>
                <c:pt idx="53">
                  <c:v>3.7578722367692938</c:v>
                </c:pt>
                <c:pt idx="54">
                  <c:v>3.7578722367692938</c:v>
                </c:pt>
                <c:pt idx="55">
                  <c:v>3.7578722367692938</c:v>
                </c:pt>
                <c:pt idx="56">
                  <c:v>3.7578722367692938</c:v>
                </c:pt>
                <c:pt idx="57">
                  <c:v>3.7578722367692938</c:v>
                </c:pt>
                <c:pt idx="58">
                  <c:v>3.7578722367692938</c:v>
                </c:pt>
                <c:pt idx="59">
                  <c:v>3.7578722367692938</c:v>
                </c:pt>
                <c:pt idx="60">
                  <c:v>3.7578722367692938</c:v>
                </c:pt>
                <c:pt idx="61">
                  <c:v>3.7578722367692938</c:v>
                </c:pt>
                <c:pt idx="62">
                  <c:v>3.7578722367692938</c:v>
                </c:pt>
                <c:pt idx="63">
                  <c:v>3.7578722367692938</c:v>
                </c:pt>
                <c:pt idx="64">
                  <c:v>3.7578722367692938</c:v>
                </c:pt>
                <c:pt idx="65">
                  <c:v>3.7578722367692938</c:v>
                </c:pt>
                <c:pt idx="66">
                  <c:v>3.7578722367692938</c:v>
                </c:pt>
                <c:pt idx="67">
                  <c:v>3.7578722367692938</c:v>
                </c:pt>
                <c:pt idx="68">
                  <c:v>3.7578722367692938</c:v>
                </c:pt>
                <c:pt idx="69">
                  <c:v>3.7578722367692938</c:v>
                </c:pt>
                <c:pt idx="70">
                  <c:v>3.7578722367692938</c:v>
                </c:pt>
                <c:pt idx="71">
                  <c:v>3.7578722367692938</c:v>
                </c:pt>
                <c:pt idx="72">
                  <c:v>3.7578722367692938</c:v>
                </c:pt>
                <c:pt idx="73">
                  <c:v>3.7578722367692938</c:v>
                </c:pt>
                <c:pt idx="74">
                  <c:v>3.7578722367692938</c:v>
                </c:pt>
                <c:pt idx="75">
                  <c:v>3.7578722367692938</c:v>
                </c:pt>
                <c:pt idx="76">
                  <c:v>3.7578722367692938</c:v>
                </c:pt>
                <c:pt idx="77">
                  <c:v>3.7578722367692938</c:v>
                </c:pt>
                <c:pt idx="78">
                  <c:v>3.7578722367692938</c:v>
                </c:pt>
                <c:pt idx="79">
                  <c:v>3.7578722367692938</c:v>
                </c:pt>
                <c:pt idx="80">
                  <c:v>3.7578722367692938</c:v>
                </c:pt>
                <c:pt idx="81">
                  <c:v>3.7578722367692938</c:v>
                </c:pt>
                <c:pt idx="82">
                  <c:v>3.7578722367692938</c:v>
                </c:pt>
                <c:pt idx="83">
                  <c:v>3.7578722367692938</c:v>
                </c:pt>
                <c:pt idx="84">
                  <c:v>3.7578722367692938</c:v>
                </c:pt>
                <c:pt idx="85">
                  <c:v>3.7578722367692938</c:v>
                </c:pt>
                <c:pt idx="86">
                  <c:v>3.7578722367692938</c:v>
                </c:pt>
                <c:pt idx="87">
                  <c:v>3.7578722367692938</c:v>
                </c:pt>
                <c:pt idx="88">
                  <c:v>3.7578722367692938</c:v>
                </c:pt>
                <c:pt idx="89">
                  <c:v>3.7578722367692938</c:v>
                </c:pt>
                <c:pt idx="90">
                  <c:v>3.7578722367692938</c:v>
                </c:pt>
                <c:pt idx="91">
                  <c:v>3.7578722367692938</c:v>
                </c:pt>
                <c:pt idx="92">
                  <c:v>3.7578722367692938</c:v>
                </c:pt>
                <c:pt idx="93">
                  <c:v>3.7578722367692938</c:v>
                </c:pt>
                <c:pt idx="94">
                  <c:v>3.7578722367692938</c:v>
                </c:pt>
                <c:pt idx="95">
                  <c:v>3.7578722367692938</c:v>
                </c:pt>
                <c:pt idx="96">
                  <c:v>3.7578722367692938</c:v>
                </c:pt>
                <c:pt idx="97">
                  <c:v>3.7578722367692938</c:v>
                </c:pt>
                <c:pt idx="98">
                  <c:v>3.7578722367692938</c:v>
                </c:pt>
                <c:pt idx="99">
                  <c:v>3.7578722367692938</c:v>
                </c:pt>
                <c:pt idx="100">
                  <c:v>3.7578722367692938</c:v>
                </c:pt>
                <c:pt idx="101">
                  <c:v>3.7578722367692938</c:v>
                </c:pt>
              </c:numCache>
            </c:numRef>
          </c:yVal>
          <c:smooth val="0"/>
          <c:extLst>
            <c:ext xmlns:c16="http://schemas.microsoft.com/office/drawing/2014/chart" uri="{C3380CC4-5D6E-409C-BE32-E72D297353CC}">
              <c16:uniqueId val="{00000003-8ED3-4530-BDA2-FE82D6E3E50D}"/>
            </c:ext>
          </c:extLst>
        </c:ser>
        <c:ser>
          <c:idx val="3"/>
          <c:order val="3"/>
          <c:tx>
            <c:v>Actual N.F.</c:v>
          </c:tx>
          <c:spPr>
            <a:ln w="19050" cap="rnd">
              <a:solidFill>
                <a:schemeClr val="accent4"/>
              </a:solidFill>
              <a:round/>
            </a:ln>
            <a:effectLst/>
          </c:spPr>
          <c:marker>
            <c:symbol val="triangle"/>
            <c:size val="5"/>
            <c:spPr>
              <a:noFill/>
              <a:ln w="9525">
                <a:solidFill>
                  <a:schemeClr val="accent4"/>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Result!$C$5:$C$106</c:f>
              <c:numCache>
                <c:formatCode>General</c:formatCode>
                <c:ptCount val="102"/>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4</c:v>
                </c:pt>
                <c:pt idx="51">
                  <c:v>4</c:v>
                </c:pt>
                <c:pt idx="52">
                  <c:v>4</c:v>
                </c:pt>
                <c:pt idx="53">
                  <c:v>4</c:v>
                </c:pt>
                <c:pt idx="54">
                  <c:v>4</c:v>
                </c:pt>
                <c:pt idx="55">
                  <c:v>4</c:v>
                </c:pt>
                <c:pt idx="56">
                  <c:v>4</c:v>
                </c:pt>
                <c:pt idx="57">
                  <c:v>4</c:v>
                </c:pt>
                <c:pt idx="58">
                  <c:v>4</c:v>
                </c:pt>
                <c:pt idx="59">
                  <c:v>4</c:v>
                </c:pt>
                <c:pt idx="60">
                  <c:v>4</c:v>
                </c:pt>
                <c:pt idx="61">
                  <c:v>4</c:v>
                </c:pt>
                <c:pt idx="62">
                  <c:v>4</c:v>
                </c:pt>
                <c:pt idx="63">
                  <c:v>4</c:v>
                </c:pt>
                <c:pt idx="64">
                  <c:v>4</c:v>
                </c:pt>
                <c:pt idx="65">
                  <c:v>4</c:v>
                </c:pt>
                <c:pt idx="66">
                  <c:v>4</c:v>
                </c:pt>
                <c:pt idx="67">
                  <c:v>4</c:v>
                </c:pt>
                <c:pt idx="68">
                  <c:v>4</c:v>
                </c:pt>
                <c:pt idx="69">
                  <c:v>4</c:v>
                </c:pt>
                <c:pt idx="70">
                  <c:v>4</c:v>
                </c:pt>
                <c:pt idx="71">
                  <c:v>4</c:v>
                </c:pt>
                <c:pt idx="72">
                  <c:v>4</c:v>
                </c:pt>
                <c:pt idx="73">
                  <c:v>4</c:v>
                </c:pt>
                <c:pt idx="74">
                  <c:v>4</c:v>
                </c:pt>
                <c:pt idx="75">
                  <c:v>4</c:v>
                </c:pt>
                <c:pt idx="76">
                  <c:v>4</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4</c:v>
                </c:pt>
                <c:pt idx="98">
                  <c:v>4</c:v>
                </c:pt>
                <c:pt idx="99">
                  <c:v>4</c:v>
                </c:pt>
                <c:pt idx="100">
                  <c:v>4</c:v>
                </c:pt>
                <c:pt idx="101">
                  <c:v>4</c:v>
                </c:pt>
              </c:numCache>
            </c:numRef>
          </c:yVal>
          <c:smooth val="0"/>
          <c:extLst>
            <c:ext xmlns:c16="http://schemas.microsoft.com/office/drawing/2014/chart" uri="{C3380CC4-5D6E-409C-BE32-E72D297353CC}">
              <c16:uniqueId val="{00000000-6CCE-46DD-9CF6-6DCCA75633A9}"/>
            </c:ext>
          </c:extLst>
        </c:ser>
        <c:dLbls>
          <c:showLegendKey val="0"/>
          <c:showVal val="0"/>
          <c:showCatName val="0"/>
          <c:showSerName val="0"/>
          <c:showPercent val="0"/>
          <c:showBubbleSize val="0"/>
        </c:dLbls>
        <c:axId val="672230272"/>
        <c:axId val="429109280"/>
      </c:scatterChart>
      <c:valAx>
        <c:axId val="672230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(GHz)</a:t>
                </a:r>
              </a:p>
            </c:rich>
          </c:tx>
          <c:layout>
            <c:manualLayout>
              <c:xMode val="edge"/>
              <c:yMode val="edge"/>
              <c:x val="0.32134460216081756"/>
              <c:y val="0.8445727202249184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9109280"/>
        <c:crosses val="autoZero"/>
        <c:crossBetween val="midCat"/>
      </c:valAx>
      <c:valAx>
        <c:axId val="429109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23027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Noise Figure Uncertainty Sources</a:t>
            </a:r>
          </a:p>
        </c:rich>
      </c:tx>
      <c:layout>
        <c:manualLayout>
          <c:xMode val="edge"/>
          <c:yMode val="edge"/>
          <c:x val="0.19252736232468196"/>
          <c:y val="4.578754578754578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Result!$G$4</c:f>
              <c:strCache>
                <c:ptCount val="1"/>
                <c:pt idx="0">
                  <c:v>Total (RSS)</c:v>
                </c:pt>
              </c:strCache>
            </c:strRef>
          </c:tx>
          <c:spPr>
            <a:ln w="19050" cap="rnd">
              <a:solidFill>
                <a:schemeClr val="accent2"/>
              </a:solidFill>
              <a:round/>
            </a:ln>
            <a:effectLst/>
          </c:spPr>
          <c:marker>
            <c:symbol val="plus"/>
            <c:size val="6"/>
            <c:spPr>
              <a:noFill/>
              <a:ln w="9525">
                <a:solidFill>
                  <a:schemeClr val="accent1"/>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Result!$G$5:$G$106</c:f>
              <c:numCache>
                <c:formatCode>0.00</c:formatCode>
                <c:ptCount val="102"/>
                <c:pt idx="0">
                  <c:v>0.22931274876113791</c:v>
                </c:pt>
                <c:pt idx="1">
                  <c:v>0.22931333991213357</c:v>
                </c:pt>
                <c:pt idx="2">
                  <c:v>0.22931391267217405</c:v>
                </c:pt>
                <c:pt idx="3">
                  <c:v>0.22931446761332075</c:v>
                </c:pt>
                <c:pt idx="4">
                  <c:v>0.22931782297292769</c:v>
                </c:pt>
                <c:pt idx="5">
                  <c:v>0.22931623616331542</c:v>
                </c:pt>
                <c:pt idx="6">
                  <c:v>0.22931671879163967</c:v>
                </c:pt>
                <c:pt idx="7">
                  <c:v>0.22931718640638182</c:v>
                </c:pt>
                <c:pt idx="8">
                  <c:v>0.22932069934933311</c:v>
                </c:pt>
                <c:pt idx="9">
                  <c:v>0.22932291347247025</c:v>
                </c:pt>
                <c:pt idx="10">
                  <c:v>0.22932328369033692</c:v>
                </c:pt>
                <c:pt idx="11">
                  <c:v>0.22932364239623709</c:v>
                </c:pt>
                <c:pt idx="12">
                  <c:v>0.2293171765371875</c:v>
                </c:pt>
                <c:pt idx="13">
                  <c:v>0.2293175135510277</c:v>
                </c:pt>
                <c:pt idx="14">
                  <c:v>0.22931784008475956</c:v>
                </c:pt>
                <c:pt idx="15">
                  <c:v>0.2293173399702568</c:v>
                </c:pt>
                <c:pt idx="16">
                  <c:v>0.22931767194890543</c:v>
                </c:pt>
                <c:pt idx="17">
                  <c:v>0.22931799360104643</c:v>
                </c:pt>
                <c:pt idx="18">
                  <c:v>0.22931830524780064</c:v>
                </c:pt>
                <c:pt idx="19">
                  <c:v>0.22931860720030722</c:v>
                </c:pt>
                <c:pt idx="20">
                  <c:v>0.22931889976003644</c:v>
                </c:pt>
                <c:pt idx="21">
                  <c:v>0.22931918321908804</c:v>
                </c:pt>
                <c:pt idx="22">
                  <c:v>0.22931945786048286</c:v>
                </c:pt>
                <c:pt idx="23">
                  <c:v>0.22931972395844463</c:v>
                </c:pt>
                <c:pt idx="24">
                  <c:v>0.22931998177867366</c:v>
                </c:pt>
                <c:pt idx="25">
                  <c:v>0.22932251940390053</c:v>
                </c:pt>
                <c:pt idx="26">
                  <c:v>0.22932269015714069</c:v>
                </c:pt>
                <c:pt idx="27">
                  <c:v>0.22932285560444615</c:v>
                </c:pt>
                <c:pt idx="28">
                  <c:v>0.22932301591047694</c:v>
                </c:pt>
                <c:pt idx="29">
                  <c:v>0.22932317123479512</c:v>
                </c:pt>
                <c:pt idx="30">
                  <c:v>0.22932332173202424</c:v>
                </c:pt>
                <c:pt idx="31">
                  <c:v>0.22932346755199917</c:v>
                </c:pt>
                <c:pt idx="32">
                  <c:v>0.22932360883991609</c:v>
                </c:pt>
                <c:pt idx="33">
                  <c:v>0.2293237457364726</c:v>
                </c:pt>
                <c:pt idx="34">
                  <c:v>0.22932477207282045</c:v>
                </c:pt>
                <c:pt idx="35">
                  <c:v>0.22933168606344012</c:v>
                </c:pt>
                <c:pt idx="36">
                  <c:v>0.2293317833416306</c:v>
                </c:pt>
                <c:pt idx="37">
                  <c:v>0.22933187759904103</c:v>
                </c:pt>
                <c:pt idx="38">
                  <c:v>0.22933196892929389</c:v>
                </c:pt>
                <c:pt idx="39">
                  <c:v>0.22933205742311838</c:v>
                </c:pt>
                <c:pt idx="40">
                  <c:v>0.22933214316844366</c:v>
                </c:pt>
                <c:pt idx="41">
                  <c:v>0.22933222625048222</c:v>
                </c:pt>
                <c:pt idx="42">
                  <c:v>0.22933428488032845</c:v>
                </c:pt>
                <c:pt idx="43">
                  <c:v>0.22933430123152448</c:v>
                </c:pt>
                <c:pt idx="44">
                  <c:v>0.22933431708391475</c:v>
                </c:pt>
                <c:pt idx="45">
                  <c:v>0.22933433245240842</c:v>
                </c:pt>
                <c:pt idx="46">
                  <c:v>0.22933434735148928</c:v>
                </c:pt>
                <c:pt idx="47">
                  <c:v>0.22933436179522579</c:v>
                </c:pt>
                <c:pt idx="48">
                  <c:v>0.2293387928156353</c:v>
                </c:pt>
                <c:pt idx="49">
                  <c:v>0.22933866861369948</c:v>
                </c:pt>
                <c:pt idx="50">
                  <c:v>0.22933854830388511</c:v>
                </c:pt>
                <c:pt idx="51">
                  <c:v>0.22933854830366102</c:v>
                </c:pt>
                <c:pt idx="52">
                  <c:v>0.22933854830366102</c:v>
                </c:pt>
                <c:pt idx="53">
                  <c:v>0.22933854830366102</c:v>
                </c:pt>
                <c:pt idx="54">
                  <c:v>0.22933854830366102</c:v>
                </c:pt>
                <c:pt idx="55">
                  <c:v>0.22933854830366102</c:v>
                </c:pt>
                <c:pt idx="56">
                  <c:v>0.22933854830366102</c:v>
                </c:pt>
                <c:pt idx="57">
                  <c:v>0.22933854830366102</c:v>
                </c:pt>
                <c:pt idx="58">
                  <c:v>0.22933854830366102</c:v>
                </c:pt>
                <c:pt idx="59">
                  <c:v>0.22933854830366102</c:v>
                </c:pt>
                <c:pt idx="60">
                  <c:v>0.22933854830366102</c:v>
                </c:pt>
                <c:pt idx="61">
                  <c:v>0.22933854830366102</c:v>
                </c:pt>
                <c:pt idx="62">
                  <c:v>0.22933854830366102</c:v>
                </c:pt>
                <c:pt idx="63">
                  <c:v>0.22933854830366102</c:v>
                </c:pt>
                <c:pt idx="64">
                  <c:v>0.22933854830366102</c:v>
                </c:pt>
                <c:pt idx="65">
                  <c:v>0.22933854830366102</c:v>
                </c:pt>
                <c:pt idx="66">
                  <c:v>0.22933854830366102</c:v>
                </c:pt>
                <c:pt idx="67">
                  <c:v>0.22933854830366102</c:v>
                </c:pt>
                <c:pt idx="68">
                  <c:v>0.22933854830366102</c:v>
                </c:pt>
                <c:pt idx="69">
                  <c:v>0.22933854830366102</c:v>
                </c:pt>
                <c:pt idx="70">
                  <c:v>0.22933854830366102</c:v>
                </c:pt>
                <c:pt idx="71">
                  <c:v>0.22933854830366102</c:v>
                </c:pt>
                <c:pt idx="72">
                  <c:v>0.22933854830366102</c:v>
                </c:pt>
                <c:pt idx="73">
                  <c:v>0.22933854830366102</c:v>
                </c:pt>
                <c:pt idx="74">
                  <c:v>0.22933854830366102</c:v>
                </c:pt>
                <c:pt idx="75">
                  <c:v>0.22933854830366102</c:v>
                </c:pt>
                <c:pt idx="76">
                  <c:v>0.22933854830366102</c:v>
                </c:pt>
                <c:pt idx="77">
                  <c:v>0.22933854830366102</c:v>
                </c:pt>
                <c:pt idx="78">
                  <c:v>0.22933854830366102</c:v>
                </c:pt>
                <c:pt idx="79">
                  <c:v>0.22933854830366102</c:v>
                </c:pt>
                <c:pt idx="80">
                  <c:v>0.22933854830366102</c:v>
                </c:pt>
                <c:pt idx="81">
                  <c:v>0.22933854830366102</c:v>
                </c:pt>
                <c:pt idx="82">
                  <c:v>0.22933854830366102</c:v>
                </c:pt>
                <c:pt idx="83">
                  <c:v>0.22933854830366102</c:v>
                </c:pt>
                <c:pt idx="84">
                  <c:v>0.22933854830366102</c:v>
                </c:pt>
                <c:pt idx="85">
                  <c:v>0.22933854830366102</c:v>
                </c:pt>
                <c:pt idx="86">
                  <c:v>0.22933854830366102</c:v>
                </c:pt>
                <c:pt idx="87">
                  <c:v>0.22933854830366102</c:v>
                </c:pt>
                <c:pt idx="88">
                  <c:v>0.22933854830366102</c:v>
                </c:pt>
                <c:pt idx="89">
                  <c:v>0.22933854830366102</c:v>
                </c:pt>
                <c:pt idx="90">
                  <c:v>0.22933854830366102</c:v>
                </c:pt>
                <c:pt idx="91">
                  <c:v>0.22933854830366102</c:v>
                </c:pt>
                <c:pt idx="92">
                  <c:v>0.22933854830366102</c:v>
                </c:pt>
                <c:pt idx="93">
                  <c:v>0.22933854830366102</c:v>
                </c:pt>
                <c:pt idx="94">
                  <c:v>0.22933854830366102</c:v>
                </c:pt>
                <c:pt idx="95">
                  <c:v>0.22933854830366102</c:v>
                </c:pt>
                <c:pt idx="96">
                  <c:v>0.22933854830366102</c:v>
                </c:pt>
                <c:pt idx="97">
                  <c:v>0.22933854830366102</c:v>
                </c:pt>
                <c:pt idx="98">
                  <c:v>0.22933854830366102</c:v>
                </c:pt>
                <c:pt idx="99">
                  <c:v>0.22933854830366102</c:v>
                </c:pt>
                <c:pt idx="100">
                  <c:v>0.22933854830366102</c:v>
                </c:pt>
                <c:pt idx="101">
                  <c:v>0.22933854830366102</c:v>
                </c:pt>
              </c:numCache>
            </c:numRef>
          </c:yVal>
          <c:smooth val="0"/>
          <c:extLst>
            <c:ext xmlns:c16="http://schemas.microsoft.com/office/drawing/2014/chart" uri="{C3380CC4-5D6E-409C-BE32-E72D297353CC}">
              <c16:uniqueId val="{00000000-2989-49CF-91D6-D38E75654235}"/>
            </c:ext>
          </c:extLst>
        </c:ser>
        <c:ser>
          <c:idx val="1"/>
          <c:order val="1"/>
          <c:tx>
            <c:strRef>
              <c:f>Result!$H$4</c:f>
              <c:strCache>
                <c:ptCount val="1"/>
                <c:pt idx="0">
                  <c:v>Jitter</c:v>
                </c:pt>
              </c:strCache>
            </c:strRef>
          </c:tx>
          <c:spPr>
            <a:ln w="19050" cap="rnd">
              <a:solidFill>
                <a:srgbClr val="7030A0"/>
              </a:solidFill>
              <a:round/>
            </a:ln>
            <a:effectLst/>
          </c:spPr>
          <c:marker>
            <c:symbol val="circle"/>
            <c:size val="5"/>
            <c:spPr>
              <a:noFill/>
              <a:ln w="9525">
                <a:solidFill>
                  <a:schemeClr val="accent2"/>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Result!$H$5:$H$106</c:f>
              <c:numCache>
                <c:formatCode>0.00</c:formatCode>
                <c:ptCount val="102"/>
                <c:pt idx="0">
                  <c:v>3.0269994943452519E-2</c:v>
                </c:pt>
                <c:pt idx="1">
                  <c:v>3.0269315742191952E-2</c:v>
                </c:pt>
                <c:pt idx="2">
                  <c:v>3.0268657680870739E-2</c:v>
                </c:pt>
                <c:pt idx="3">
                  <c:v>3.0268020101327061E-2</c:v>
                </c:pt>
                <c:pt idx="4">
                  <c:v>3.0290260953998616E-2</c:v>
                </c:pt>
                <c:pt idx="5">
                  <c:v>3.0272564918418194E-2</c:v>
                </c:pt>
                <c:pt idx="6">
                  <c:v>3.0271805725833281E-2</c:v>
                </c:pt>
                <c:pt idx="7">
                  <c:v>3.0271070163702965E-2</c:v>
                </c:pt>
                <c:pt idx="8">
                  <c:v>3.0200528243545108E-2</c:v>
                </c:pt>
                <c:pt idx="9">
                  <c:v>3.0214272349060985E-2</c:v>
                </c:pt>
                <c:pt idx="10">
                  <c:v>3.0213154186688088E-2</c:v>
                </c:pt>
                <c:pt idx="11">
                  <c:v>3.0212070833432261E-2</c:v>
                </c:pt>
                <c:pt idx="12">
                  <c:v>3.0155566752521186E-2</c:v>
                </c:pt>
                <c:pt idx="13">
                  <c:v>3.0154550006491178E-2</c:v>
                </c:pt>
                <c:pt idx="14">
                  <c:v>3.0153564911088351E-2</c:v>
                </c:pt>
                <c:pt idx="15">
                  <c:v>3.0145957647859323E-2</c:v>
                </c:pt>
                <c:pt idx="16">
                  <c:v>3.0145240009089507E-2</c:v>
                </c:pt>
                <c:pt idx="17">
                  <c:v>3.0144544707036515E-2</c:v>
                </c:pt>
                <c:pt idx="18">
                  <c:v>3.0143871046253601E-2</c:v>
                </c:pt>
                <c:pt idx="19">
                  <c:v>3.0143218352957375E-2</c:v>
                </c:pt>
                <c:pt idx="20">
                  <c:v>3.0142585974355603E-2</c:v>
                </c:pt>
                <c:pt idx="21">
                  <c:v>3.0141973277992194E-2</c:v>
                </c:pt>
                <c:pt idx="22">
                  <c:v>3.0141379651108482E-2</c:v>
                </c:pt>
                <c:pt idx="23">
                  <c:v>3.0140804500036127E-2</c:v>
                </c:pt>
                <c:pt idx="24">
                  <c:v>3.0140247249596713E-2</c:v>
                </c:pt>
                <c:pt idx="25">
                  <c:v>3.0158349141795566E-2</c:v>
                </c:pt>
                <c:pt idx="26">
                  <c:v>3.0157245779899644E-2</c:v>
                </c:pt>
                <c:pt idx="27">
                  <c:v>3.015617676619942E-2</c:v>
                </c:pt>
                <c:pt idx="28">
                  <c:v>3.0155141030923045E-2</c:v>
                </c:pt>
                <c:pt idx="29">
                  <c:v>3.0154137537646248E-2</c:v>
                </c:pt>
                <c:pt idx="30">
                  <c:v>3.0153165282254354E-2</c:v>
                </c:pt>
                <c:pt idx="31">
                  <c:v>3.0152223291925361E-2</c:v>
                </c:pt>
                <c:pt idx="32">
                  <c:v>3.015131062416284E-2</c:v>
                </c:pt>
                <c:pt idx="33">
                  <c:v>3.0150426365844071E-2</c:v>
                </c:pt>
                <c:pt idx="34">
                  <c:v>3.0156850761163326E-2</c:v>
                </c:pt>
                <c:pt idx="35">
                  <c:v>3.021124934808413E-2</c:v>
                </c:pt>
                <c:pt idx="36">
                  <c:v>3.0210225292785321E-2</c:v>
                </c:pt>
                <c:pt idx="37">
                  <c:v>3.0209233115673376E-2</c:v>
                </c:pt>
                <c:pt idx="38">
                  <c:v>3.0208271823975733E-2</c:v>
                </c:pt>
                <c:pt idx="39">
                  <c:v>3.0207340455860706E-2</c:v>
                </c:pt>
                <c:pt idx="40">
                  <c:v>3.0206438079477045E-2</c:v>
                </c:pt>
                <c:pt idx="41">
                  <c:v>3.0205563792016506E-2</c:v>
                </c:pt>
                <c:pt idx="42">
                  <c:v>3.0220801341697433E-2</c:v>
                </c:pt>
                <c:pt idx="43">
                  <c:v>3.0219479917646432E-2</c:v>
                </c:pt>
                <c:pt idx="44">
                  <c:v>3.0218199633953252E-2</c:v>
                </c:pt>
                <c:pt idx="45">
                  <c:v>3.0216959209072681E-2</c:v>
                </c:pt>
                <c:pt idx="46">
                  <c:v>3.0215757401425066E-2</c:v>
                </c:pt>
                <c:pt idx="47">
                  <c:v>3.021459300814577E-2</c:v>
                </c:pt>
                <c:pt idx="48">
                  <c:v>3.0249358570400165E-2</c:v>
                </c:pt>
                <c:pt idx="49">
                  <c:v>3.024714788390781E-2</c:v>
                </c:pt>
                <c:pt idx="50">
                  <c:v>3.0245006049754261E-2</c:v>
                </c:pt>
                <c:pt idx="51">
                  <c:v>3.0245006045761878E-2</c:v>
                </c:pt>
                <c:pt idx="52">
                  <c:v>3.0245006045761878E-2</c:v>
                </c:pt>
                <c:pt idx="53">
                  <c:v>3.0245006045761878E-2</c:v>
                </c:pt>
                <c:pt idx="54">
                  <c:v>3.0245006045761878E-2</c:v>
                </c:pt>
                <c:pt idx="55">
                  <c:v>3.0245006045761878E-2</c:v>
                </c:pt>
                <c:pt idx="56">
                  <c:v>3.0245006045761878E-2</c:v>
                </c:pt>
                <c:pt idx="57">
                  <c:v>3.0245006045761878E-2</c:v>
                </c:pt>
                <c:pt idx="58">
                  <c:v>3.0245006045761878E-2</c:v>
                </c:pt>
                <c:pt idx="59">
                  <c:v>3.0245006045761878E-2</c:v>
                </c:pt>
                <c:pt idx="60">
                  <c:v>3.0245006045761878E-2</c:v>
                </c:pt>
                <c:pt idx="61">
                  <c:v>3.0245006045761878E-2</c:v>
                </c:pt>
                <c:pt idx="62">
                  <c:v>3.0245006045761878E-2</c:v>
                </c:pt>
                <c:pt idx="63">
                  <c:v>3.0245006045761878E-2</c:v>
                </c:pt>
                <c:pt idx="64">
                  <c:v>3.0245006045761878E-2</c:v>
                </c:pt>
                <c:pt idx="65">
                  <c:v>3.0245006045761878E-2</c:v>
                </c:pt>
                <c:pt idx="66">
                  <c:v>3.0245006045761878E-2</c:v>
                </c:pt>
                <c:pt idx="67">
                  <c:v>3.0245006045761878E-2</c:v>
                </c:pt>
                <c:pt idx="68">
                  <c:v>3.0245006045761878E-2</c:v>
                </c:pt>
                <c:pt idx="69">
                  <c:v>3.0245006045761878E-2</c:v>
                </c:pt>
                <c:pt idx="70">
                  <c:v>3.0245006045761878E-2</c:v>
                </c:pt>
                <c:pt idx="71">
                  <c:v>3.0245006045761878E-2</c:v>
                </c:pt>
                <c:pt idx="72">
                  <c:v>3.0245006045761878E-2</c:v>
                </c:pt>
                <c:pt idx="73">
                  <c:v>3.0245006045761878E-2</c:v>
                </c:pt>
                <c:pt idx="74">
                  <c:v>3.0245006045761878E-2</c:v>
                </c:pt>
                <c:pt idx="75">
                  <c:v>3.0245006045761878E-2</c:v>
                </c:pt>
                <c:pt idx="76">
                  <c:v>3.0245006045761878E-2</c:v>
                </c:pt>
                <c:pt idx="77">
                  <c:v>3.0245006045761878E-2</c:v>
                </c:pt>
                <c:pt idx="78">
                  <c:v>3.0245006045761878E-2</c:v>
                </c:pt>
                <c:pt idx="79">
                  <c:v>3.0245006045761878E-2</c:v>
                </c:pt>
                <c:pt idx="80">
                  <c:v>3.0245006045761878E-2</c:v>
                </c:pt>
                <c:pt idx="81">
                  <c:v>3.0245006045761878E-2</c:v>
                </c:pt>
                <c:pt idx="82">
                  <c:v>3.0245006045761878E-2</c:v>
                </c:pt>
                <c:pt idx="83">
                  <c:v>3.0245006045761878E-2</c:v>
                </c:pt>
                <c:pt idx="84">
                  <c:v>3.0245006045761878E-2</c:v>
                </c:pt>
                <c:pt idx="85">
                  <c:v>3.0245006045761878E-2</c:v>
                </c:pt>
                <c:pt idx="86">
                  <c:v>3.0245006045761878E-2</c:v>
                </c:pt>
                <c:pt idx="87">
                  <c:v>3.0245006045761878E-2</c:v>
                </c:pt>
                <c:pt idx="88">
                  <c:v>3.0245006045761878E-2</c:v>
                </c:pt>
                <c:pt idx="89">
                  <c:v>3.0245006045761878E-2</c:v>
                </c:pt>
                <c:pt idx="90">
                  <c:v>3.0245006045761878E-2</c:v>
                </c:pt>
                <c:pt idx="91">
                  <c:v>3.0245006045761878E-2</c:v>
                </c:pt>
                <c:pt idx="92">
                  <c:v>3.0245006045761878E-2</c:v>
                </c:pt>
                <c:pt idx="93">
                  <c:v>3.0245006045761878E-2</c:v>
                </c:pt>
                <c:pt idx="94">
                  <c:v>3.0245006045761878E-2</c:v>
                </c:pt>
                <c:pt idx="95">
                  <c:v>3.0245006045761878E-2</c:v>
                </c:pt>
                <c:pt idx="96">
                  <c:v>3.0245006045761878E-2</c:v>
                </c:pt>
                <c:pt idx="97">
                  <c:v>3.0245006045761878E-2</c:v>
                </c:pt>
                <c:pt idx="98">
                  <c:v>3.0245006045761878E-2</c:v>
                </c:pt>
                <c:pt idx="99">
                  <c:v>3.0245006045761878E-2</c:v>
                </c:pt>
                <c:pt idx="100">
                  <c:v>3.0245006045761878E-2</c:v>
                </c:pt>
                <c:pt idx="101">
                  <c:v>3.0245006045761878E-2</c:v>
                </c:pt>
              </c:numCache>
            </c:numRef>
          </c:yVal>
          <c:smooth val="0"/>
          <c:extLst>
            <c:ext xmlns:c16="http://schemas.microsoft.com/office/drawing/2014/chart" uri="{C3380CC4-5D6E-409C-BE32-E72D297353CC}">
              <c16:uniqueId val="{00000001-2989-49CF-91D6-D38E75654235}"/>
            </c:ext>
          </c:extLst>
        </c:ser>
        <c:ser>
          <c:idx val="3"/>
          <c:order val="2"/>
          <c:tx>
            <c:strRef>
              <c:f>Result!$J$4</c:f>
              <c:strCache>
                <c:ptCount val="1"/>
                <c:pt idx="0">
                  <c:v>ENR</c:v>
                </c:pt>
              </c:strCache>
            </c:strRef>
          </c:tx>
          <c:spPr>
            <a:ln w="19050" cap="rnd">
              <a:solidFill>
                <a:schemeClr val="accent6"/>
              </a:solidFill>
              <a:round/>
            </a:ln>
            <a:effectLst/>
          </c:spPr>
          <c:marker>
            <c:symbol val="x"/>
            <c:size val="5"/>
            <c:spPr>
              <a:noFill/>
              <a:ln w="9525">
                <a:solidFill>
                  <a:schemeClr val="tx1"/>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Result!$J$5:$J$106</c:f>
              <c:numCache>
                <c:formatCode>0.00</c:formatCode>
                <c:ptCount val="102"/>
                <c:pt idx="0">
                  <c:v>0.13294593064713064</c:v>
                </c:pt>
                <c:pt idx="1">
                  <c:v>0.13294633293722535</c:v>
                </c:pt>
                <c:pt idx="2">
                  <c:v>0.13294672270982089</c:v>
                </c:pt>
                <c:pt idx="3">
                  <c:v>0.13294710035440549</c:v>
                </c:pt>
                <c:pt idx="4">
                  <c:v>0.13294746624835191</c:v>
                </c:pt>
                <c:pt idx="5">
                  <c:v>0.13294782075728959</c:v>
                </c:pt>
                <c:pt idx="6">
                  <c:v>0.13294816423546946</c:v>
                </c:pt>
                <c:pt idx="7">
                  <c:v>0.1329484970261231</c:v>
                </c:pt>
                <c:pt idx="8">
                  <c:v>0.13294881946179757</c:v>
                </c:pt>
                <c:pt idx="9">
                  <c:v>0.1329491318646967</c:v>
                </c:pt>
                <c:pt idx="10">
                  <c:v>0.13294943454699648</c:v>
                </c:pt>
                <c:pt idx="11">
                  <c:v>0.13294972781115821</c:v>
                </c:pt>
                <c:pt idx="12">
                  <c:v>0.13295001195023623</c:v>
                </c:pt>
                <c:pt idx="13">
                  <c:v>0.13295028724816141</c:v>
                </c:pt>
                <c:pt idx="14">
                  <c:v>0.13295055398003186</c:v>
                </c:pt>
                <c:pt idx="15">
                  <c:v>0.13295081241238624</c:v>
                </c:pt>
                <c:pt idx="16">
                  <c:v>0.13295106280347013</c:v>
                </c:pt>
                <c:pt idx="17">
                  <c:v>0.13295130540349148</c:v>
                </c:pt>
                <c:pt idx="18">
                  <c:v>0.13295154045487398</c:v>
                </c:pt>
                <c:pt idx="19">
                  <c:v>0.1329517681924984</c:v>
                </c:pt>
                <c:pt idx="20">
                  <c:v>0.13295198884393838</c:v>
                </c:pt>
                <c:pt idx="21">
                  <c:v>0.13295220262968283</c:v>
                </c:pt>
                <c:pt idx="22">
                  <c:v>0.13295240976336428</c:v>
                </c:pt>
                <c:pt idx="23">
                  <c:v>0.13295261045196277</c:v>
                </c:pt>
                <c:pt idx="24">
                  <c:v>0.13295280489602457</c:v>
                </c:pt>
                <c:pt idx="25">
                  <c:v>0.1329529932898485</c:v>
                </c:pt>
                <c:pt idx="26">
                  <c:v>0.1329531758216943</c:v>
                </c:pt>
                <c:pt idx="27">
                  <c:v>0.13295335267395864</c:v>
                </c:pt>
                <c:pt idx="28">
                  <c:v>0.13295352402336669</c:v>
                </c:pt>
                <c:pt idx="29">
                  <c:v>0.13295369004114335</c:v>
                </c:pt>
                <c:pt idx="30">
                  <c:v>0.13295385089318446</c:v>
                </c:pt>
                <c:pt idx="31">
                  <c:v>0.13295400674022506</c:v>
                </c:pt>
                <c:pt idx="32">
                  <c:v>0.13295415773799929</c:v>
                </c:pt>
                <c:pt idx="33">
                  <c:v>0.13295430403739397</c:v>
                </c:pt>
                <c:pt idx="34">
                  <c:v>0.13295444578460264</c:v>
                </c:pt>
                <c:pt idx="35">
                  <c:v>0.1329545831212689</c:v>
                </c:pt>
                <c:pt idx="36">
                  <c:v>0.13295471618462937</c:v>
                </c:pt>
                <c:pt idx="37">
                  <c:v>0.13295484510765121</c:v>
                </c:pt>
                <c:pt idx="38">
                  <c:v>0.13295497001916212</c:v>
                </c:pt>
                <c:pt idx="39">
                  <c:v>0.1329550910439832</c:v>
                </c:pt>
                <c:pt idx="40">
                  <c:v>0.13295520830305133</c:v>
                </c:pt>
                <c:pt idx="41">
                  <c:v>0.13295532191353904</c:v>
                </c:pt>
                <c:pt idx="42">
                  <c:v>0.132955431988976</c:v>
                </c:pt>
                <c:pt idx="43">
                  <c:v>0.13295553863935478</c:v>
                </c:pt>
                <c:pt idx="44">
                  <c:v>0.13295564197125045</c:v>
                </c:pt>
                <c:pt idx="45">
                  <c:v>0.13295574208791705</c:v>
                </c:pt>
                <c:pt idx="46">
                  <c:v>0.13295583908939965</c:v>
                </c:pt>
                <c:pt idx="47">
                  <c:v>0.13295593307262904</c:v>
                </c:pt>
                <c:pt idx="48">
                  <c:v>0.13295602413151972</c:v>
                </c:pt>
                <c:pt idx="49">
                  <c:v>0.13295611235706448</c:v>
                </c:pt>
                <c:pt idx="50">
                  <c:v>0.13295619783742318</c:v>
                </c:pt>
                <c:pt idx="51">
                  <c:v>0.13295619783758311</c:v>
                </c:pt>
                <c:pt idx="52">
                  <c:v>0.13295619783758311</c:v>
                </c:pt>
                <c:pt idx="53">
                  <c:v>0.13295619783758311</c:v>
                </c:pt>
                <c:pt idx="54">
                  <c:v>0.13295619783758311</c:v>
                </c:pt>
                <c:pt idx="55">
                  <c:v>0.13295619783758311</c:v>
                </c:pt>
                <c:pt idx="56">
                  <c:v>0.13295619783758311</c:v>
                </c:pt>
                <c:pt idx="57">
                  <c:v>0.13295619783758311</c:v>
                </c:pt>
                <c:pt idx="58">
                  <c:v>0.13295619783758311</c:v>
                </c:pt>
                <c:pt idx="59">
                  <c:v>0.13295619783758311</c:v>
                </c:pt>
                <c:pt idx="60">
                  <c:v>0.13295619783758311</c:v>
                </c:pt>
                <c:pt idx="61">
                  <c:v>0.13295619783758311</c:v>
                </c:pt>
                <c:pt idx="62">
                  <c:v>0.13295619783758311</c:v>
                </c:pt>
                <c:pt idx="63">
                  <c:v>0.13295619783758311</c:v>
                </c:pt>
                <c:pt idx="64">
                  <c:v>0.13295619783758311</c:v>
                </c:pt>
                <c:pt idx="65">
                  <c:v>0.13295619783758311</c:v>
                </c:pt>
                <c:pt idx="66">
                  <c:v>0.13295619783758311</c:v>
                </c:pt>
                <c:pt idx="67">
                  <c:v>0.13295619783758311</c:v>
                </c:pt>
                <c:pt idx="68">
                  <c:v>0.13295619783758311</c:v>
                </c:pt>
                <c:pt idx="69">
                  <c:v>0.13295619783758311</c:v>
                </c:pt>
                <c:pt idx="70">
                  <c:v>0.13295619783758311</c:v>
                </c:pt>
                <c:pt idx="71">
                  <c:v>0.13295619783758311</c:v>
                </c:pt>
                <c:pt idx="72">
                  <c:v>0.13295619783758311</c:v>
                </c:pt>
                <c:pt idx="73">
                  <c:v>0.13295619783758311</c:v>
                </c:pt>
                <c:pt idx="74">
                  <c:v>0.13295619783758311</c:v>
                </c:pt>
                <c:pt idx="75">
                  <c:v>0.13295619783758311</c:v>
                </c:pt>
                <c:pt idx="76">
                  <c:v>0.13295619783758311</c:v>
                </c:pt>
                <c:pt idx="77">
                  <c:v>0.13295619783758311</c:v>
                </c:pt>
                <c:pt idx="78">
                  <c:v>0.13295619783758311</c:v>
                </c:pt>
                <c:pt idx="79">
                  <c:v>0.13295619783758311</c:v>
                </c:pt>
                <c:pt idx="80">
                  <c:v>0.13295619783758311</c:v>
                </c:pt>
                <c:pt idx="81">
                  <c:v>0.13295619783758311</c:v>
                </c:pt>
                <c:pt idx="82">
                  <c:v>0.13295619783758311</c:v>
                </c:pt>
                <c:pt idx="83">
                  <c:v>0.13295619783758311</c:v>
                </c:pt>
                <c:pt idx="84">
                  <c:v>0.13295619783758311</c:v>
                </c:pt>
                <c:pt idx="85">
                  <c:v>0.13295619783758311</c:v>
                </c:pt>
                <c:pt idx="86">
                  <c:v>0.13295619783758311</c:v>
                </c:pt>
                <c:pt idx="87">
                  <c:v>0.13295619783758311</c:v>
                </c:pt>
                <c:pt idx="88">
                  <c:v>0.13295619783758311</c:v>
                </c:pt>
                <c:pt idx="89">
                  <c:v>0.13295619783758311</c:v>
                </c:pt>
                <c:pt idx="90">
                  <c:v>0.13295619783758311</c:v>
                </c:pt>
                <c:pt idx="91">
                  <c:v>0.13295619783758311</c:v>
                </c:pt>
                <c:pt idx="92">
                  <c:v>0.13295619783758311</c:v>
                </c:pt>
                <c:pt idx="93">
                  <c:v>0.13295619783758311</c:v>
                </c:pt>
                <c:pt idx="94">
                  <c:v>0.13295619783758311</c:v>
                </c:pt>
                <c:pt idx="95">
                  <c:v>0.13295619783758311</c:v>
                </c:pt>
                <c:pt idx="96">
                  <c:v>0.13295619783758311</c:v>
                </c:pt>
                <c:pt idx="97">
                  <c:v>0.13295619783758311</c:v>
                </c:pt>
                <c:pt idx="98">
                  <c:v>0.13295619783758311</c:v>
                </c:pt>
                <c:pt idx="99">
                  <c:v>0.13295619783758311</c:v>
                </c:pt>
                <c:pt idx="100">
                  <c:v>0.13295619783758311</c:v>
                </c:pt>
                <c:pt idx="101">
                  <c:v>0.13295619783758311</c:v>
                </c:pt>
              </c:numCache>
            </c:numRef>
          </c:yVal>
          <c:smooth val="0"/>
          <c:extLst>
            <c:ext xmlns:c16="http://schemas.microsoft.com/office/drawing/2014/chart" uri="{C3380CC4-5D6E-409C-BE32-E72D297353CC}">
              <c16:uniqueId val="{00000003-2989-49CF-91D6-D38E75654235}"/>
            </c:ext>
          </c:extLst>
        </c:ser>
        <c:ser>
          <c:idx val="2"/>
          <c:order val="3"/>
          <c:tx>
            <c:strRef>
              <c:f>Result!$I$4</c:f>
              <c:strCache>
                <c:ptCount val="1"/>
                <c:pt idx="0">
                  <c:v>Mismatch</c:v>
                </c:pt>
              </c:strCache>
            </c:strRef>
          </c:tx>
          <c:spPr>
            <a:ln w="19050" cap="rnd">
              <a:solidFill>
                <a:schemeClr val="accent3"/>
              </a:solidFill>
              <a:round/>
            </a:ln>
            <a:effectLst/>
          </c:spPr>
          <c:marker>
            <c:symbol val="triangle"/>
            <c:size val="5"/>
            <c:spPr>
              <a:noFill/>
              <a:ln w="9525">
                <a:solidFill>
                  <a:schemeClr val="accent1"/>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Result!$I$5:$I$106</c:f>
            </c:numRef>
          </c:yVal>
          <c:smooth val="0"/>
          <c:extLst>
            <c:ext xmlns:c16="http://schemas.microsoft.com/office/drawing/2014/chart" uri="{C3380CC4-5D6E-409C-BE32-E72D297353CC}">
              <c16:uniqueId val="{00000002-2989-49CF-91D6-D38E75654235}"/>
            </c:ext>
          </c:extLst>
        </c:ser>
        <c:ser>
          <c:idx val="4"/>
          <c:order val="4"/>
          <c:tx>
            <c:strRef>
              <c:f>Result!$K$4</c:f>
              <c:strCache>
                <c:ptCount val="1"/>
                <c:pt idx="0">
                  <c:v>User Cal</c:v>
                </c:pt>
              </c:strCache>
            </c:strRef>
          </c:tx>
          <c:spPr>
            <a:ln w="19050" cap="rnd">
              <a:solidFill>
                <a:schemeClr val="accent5"/>
              </a:solidFill>
              <a:round/>
            </a:ln>
            <a:effectLst/>
          </c:spPr>
          <c:marker>
            <c:symbol val="square"/>
            <c:size val="5"/>
            <c:spPr>
              <a:noFill/>
              <a:ln w="9525">
                <a:solidFill>
                  <a:srgbClr val="00B0F0"/>
                </a:solid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Result!$K$5:$K$106</c:f>
            </c:numRef>
          </c:yVal>
          <c:smooth val="0"/>
          <c:extLst>
            <c:ext xmlns:c16="http://schemas.microsoft.com/office/drawing/2014/chart" uri="{C3380CC4-5D6E-409C-BE32-E72D297353CC}">
              <c16:uniqueId val="{00000004-2989-49CF-91D6-D38E75654235}"/>
            </c:ext>
          </c:extLst>
        </c:ser>
        <c:ser>
          <c:idx val="5"/>
          <c:order val="5"/>
          <c:tx>
            <c:strRef>
              <c:f>Result!$L$4</c:f>
              <c:strCache>
                <c:ptCount val="1"/>
                <c:pt idx="0">
                  <c:v>Tdrift</c:v>
                </c:pt>
              </c:strCache>
              <c:extLst xmlns:c15="http://schemas.microsoft.com/office/drawing/2012/chart"/>
            </c:strRef>
          </c:tx>
          <c:spPr>
            <a:ln w="19050" cap="rnd">
              <a:solidFill>
                <a:schemeClr val="accent6"/>
              </a:solidFill>
              <a:round/>
            </a:ln>
            <a:effectLst/>
          </c:spPr>
          <c:marker>
            <c:symbol val="circle"/>
            <c:size val="5"/>
            <c:spPr>
              <a:solidFill>
                <a:srgbClr val="0070C0"/>
              </a:solidFill>
              <a:ln w="9525">
                <a:noFill/>
              </a:ln>
              <a:effectLst/>
            </c:spPr>
          </c:marker>
          <c:xVal>
            <c:numRef>
              <c:f>Result!$A$5:$A$106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extLst xmlns:c15="http://schemas.microsoft.com/office/drawing/2012/chart"/>
            </c:numRef>
          </c:xVal>
          <c:yVal>
            <c:numRef>
              <c:f>Result!$L$5:$L$106</c:f>
              <c:extLst xmlns:c15="http://schemas.microsoft.com/office/drawing/2012/chart"/>
            </c:numRef>
          </c:yVal>
          <c:smooth val="0"/>
          <c:extLst xmlns:c15="http://schemas.microsoft.com/office/drawing/2012/chart">
            <c:ext xmlns:c16="http://schemas.microsoft.com/office/drawing/2014/chart" uri="{C3380CC4-5D6E-409C-BE32-E72D297353CC}">
              <c16:uniqueId val="{00000005-2989-49CF-91D6-D38E75654235}"/>
            </c:ext>
          </c:extLst>
        </c:ser>
        <c:dLbls>
          <c:showLegendKey val="0"/>
          <c:showVal val="0"/>
          <c:showCatName val="0"/>
          <c:showSerName val="0"/>
          <c:showPercent val="0"/>
          <c:showBubbleSize val="0"/>
        </c:dLbls>
        <c:axId val="591488456"/>
        <c:axId val="593888928"/>
        <c:extLst/>
      </c:scatterChart>
      <c:valAx>
        <c:axId val="5914884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(GHz)</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888928"/>
        <c:crosses val="autoZero"/>
        <c:crossBetween val="midCat"/>
      </c:valAx>
      <c:valAx>
        <c:axId val="593888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Uncertainty (dB)</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148845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'Sys Info'!$B$4</c:f>
              <c:strCache>
                <c:ptCount val="1"/>
                <c:pt idx="0">
                  <c:v>Preamp Gain (dB)</c:v>
                </c:pt>
              </c:strCache>
            </c:strRef>
          </c:tx>
          <c:spPr>
            <a:ln w="19050" cap="rnd">
              <a:solidFill>
                <a:schemeClr val="accent1"/>
              </a:solidFill>
              <a:round/>
            </a:ln>
            <a:effectLst/>
          </c:spPr>
          <c:marker>
            <c:symbol val="plus"/>
            <c:size val="5"/>
            <c:spPr>
              <a:noFill/>
              <a:ln w="9525">
                <a:solidFill>
                  <a:schemeClr val="accent1"/>
                </a:solidFill>
              </a:ln>
              <a:effectLst/>
            </c:spPr>
          </c:marker>
          <c:xVal>
            <c:numRef>
              <c:f>'Sys Info'!$A$5:$A$106</c:f>
              <c:numCache>
                <c:formatCode>General</c:formatCode>
                <c:ptCount val="102"/>
                <c:pt idx="0">
                  <c:v>0.1</c:v>
                </c:pt>
                <c:pt idx="1">
                  <c:v>0.628</c:v>
                </c:pt>
                <c:pt idx="2">
                  <c:v>1.1560000000000001</c:v>
                </c:pt>
                <c:pt idx="3">
                  <c:v>1.6840000000000002</c:v>
                </c:pt>
                <c:pt idx="4">
                  <c:v>2.2120000000000002</c:v>
                </c:pt>
                <c:pt idx="5">
                  <c:v>2.74</c:v>
                </c:pt>
                <c:pt idx="6">
                  <c:v>3.2680000000000002</c:v>
                </c:pt>
                <c:pt idx="7">
                  <c:v>3.7960000000000003</c:v>
                </c:pt>
                <c:pt idx="8">
                  <c:v>4.3239999999999998</c:v>
                </c:pt>
                <c:pt idx="9">
                  <c:v>4.8520000000000003</c:v>
                </c:pt>
                <c:pt idx="10">
                  <c:v>5.3800000000000008</c:v>
                </c:pt>
                <c:pt idx="11">
                  <c:v>5.9080000000000013</c:v>
                </c:pt>
                <c:pt idx="12">
                  <c:v>6.4360000000000017</c:v>
                </c:pt>
                <c:pt idx="13">
                  <c:v>6.9640000000000022</c:v>
                </c:pt>
                <c:pt idx="14">
                  <c:v>7.4920000000000027</c:v>
                </c:pt>
                <c:pt idx="15">
                  <c:v>8.0200000000000031</c:v>
                </c:pt>
                <c:pt idx="16">
                  <c:v>8.5480000000000036</c:v>
                </c:pt>
                <c:pt idx="17">
                  <c:v>9.0760000000000041</c:v>
                </c:pt>
                <c:pt idx="18">
                  <c:v>9.6040000000000045</c:v>
                </c:pt>
                <c:pt idx="19">
                  <c:v>10.132000000000005</c:v>
                </c:pt>
                <c:pt idx="20">
                  <c:v>10.660000000000005</c:v>
                </c:pt>
                <c:pt idx="21">
                  <c:v>11.188000000000006</c:v>
                </c:pt>
                <c:pt idx="22">
                  <c:v>11.716000000000006</c:v>
                </c:pt>
                <c:pt idx="23">
                  <c:v>12.244000000000007</c:v>
                </c:pt>
                <c:pt idx="24">
                  <c:v>12.772000000000007</c:v>
                </c:pt>
                <c:pt idx="25">
                  <c:v>13.300000000000008</c:v>
                </c:pt>
                <c:pt idx="26">
                  <c:v>13.828000000000008</c:v>
                </c:pt>
                <c:pt idx="27">
                  <c:v>14.356000000000009</c:v>
                </c:pt>
                <c:pt idx="28">
                  <c:v>14.884000000000009</c:v>
                </c:pt>
                <c:pt idx="29">
                  <c:v>15.41200000000001</c:v>
                </c:pt>
                <c:pt idx="30">
                  <c:v>15.94000000000001</c:v>
                </c:pt>
                <c:pt idx="31">
                  <c:v>16.468000000000011</c:v>
                </c:pt>
                <c:pt idx="32">
                  <c:v>16.996000000000009</c:v>
                </c:pt>
                <c:pt idx="33">
                  <c:v>17.524000000000008</c:v>
                </c:pt>
                <c:pt idx="34">
                  <c:v>18.052000000000007</c:v>
                </c:pt>
                <c:pt idx="35">
                  <c:v>18.580000000000005</c:v>
                </c:pt>
                <c:pt idx="36">
                  <c:v>19.108000000000004</c:v>
                </c:pt>
                <c:pt idx="37">
                  <c:v>19.636000000000003</c:v>
                </c:pt>
                <c:pt idx="38">
                  <c:v>20.164000000000001</c:v>
                </c:pt>
                <c:pt idx="39">
                  <c:v>20.692</c:v>
                </c:pt>
                <c:pt idx="40">
                  <c:v>21.22</c:v>
                </c:pt>
                <c:pt idx="41">
                  <c:v>21.747999999999998</c:v>
                </c:pt>
                <c:pt idx="42">
                  <c:v>22.275999999999996</c:v>
                </c:pt>
                <c:pt idx="43">
                  <c:v>22.803999999999995</c:v>
                </c:pt>
                <c:pt idx="44">
                  <c:v>23.331999999999994</c:v>
                </c:pt>
                <c:pt idx="45">
                  <c:v>23.859999999999992</c:v>
                </c:pt>
                <c:pt idx="46">
                  <c:v>24.387999999999991</c:v>
                </c:pt>
                <c:pt idx="47">
                  <c:v>24.91599999999999</c:v>
                </c:pt>
                <c:pt idx="48">
                  <c:v>25.443999999999988</c:v>
                </c:pt>
                <c:pt idx="49">
                  <c:v>25.971999999999987</c:v>
                </c:pt>
                <c:pt idx="50">
                  <c:v>26.499999999999986</c:v>
                </c:pt>
                <c:pt idx="51">
                  <c:v>26.500001000000001</c:v>
                </c:pt>
                <c:pt idx="52">
                  <c:v>26.500001000000001</c:v>
                </c:pt>
                <c:pt idx="53">
                  <c:v>26.500001000000001</c:v>
                </c:pt>
                <c:pt idx="54">
                  <c:v>26.500001000000001</c:v>
                </c:pt>
                <c:pt idx="55">
                  <c:v>26.500001000000001</c:v>
                </c:pt>
                <c:pt idx="56">
                  <c:v>26.500001000000001</c:v>
                </c:pt>
                <c:pt idx="57">
                  <c:v>26.500001000000001</c:v>
                </c:pt>
                <c:pt idx="58">
                  <c:v>26.500001000000001</c:v>
                </c:pt>
                <c:pt idx="59">
                  <c:v>26.500001000000001</c:v>
                </c:pt>
                <c:pt idx="60">
                  <c:v>26.500001000000001</c:v>
                </c:pt>
                <c:pt idx="61">
                  <c:v>26.500001000000001</c:v>
                </c:pt>
                <c:pt idx="62">
                  <c:v>26.500001000000001</c:v>
                </c:pt>
                <c:pt idx="63">
                  <c:v>26.500001000000001</c:v>
                </c:pt>
                <c:pt idx="64">
                  <c:v>26.500001000000001</c:v>
                </c:pt>
                <c:pt idx="65">
                  <c:v>26.500001000000001</c:v>
                </c:pt>
                <c:pt idx="66">
                  <c:v>26.500001000000001</c:v>
                </c:pt>
                <c:pt idx="67">
                  <c:v>26.500001000000001</c:v>
                </c:pt>
                <c:pt idx="68">
                  <c:v>26.500001000000001</c:v>
                </c:pt>
                <c:pt idx="69">
                  <c:v>26.500001000000001</c:v>
                </c:pt>
                <c:pt idx="70">
                  <c:v>26.500001000000001</c:v>
                </c:pt>
                <c:pt idx="71">
                  <c:v>26.500001000000001</c:v>
                </c:pt>
                <c:pt idx="72">
                  <c:v>26.500001000000001</c:v>
                </c:pt>
                <c:pt idx="73">
                  <c:v>26.500001000000001</c:v>
                </c:pt>
                <c:pt idx="74">
                  <c:v>26.500001000000001</c:v>
                </c:pt>
                <c:pt idx="75">
                  <c:v>26.500001000000001</c:v>
                </c:pt>
                <c:pt idx="76">
                  <c:v>26.500001000000001</c:v>
                </c:pt>
                <c:pt idx="77">
                  <c:v>26.500001000000001</c:v>
                </c:pt>
                <c:pt idx="78">
                  <c:v>26.500001000000001</c:v>
                </c:pt>
                <c:pt idx="79">
                  <c:v>26.500001000000001</c:v>
                </c:pt>
                <c:pt idx="80">
                  <c:v>26.500001000000001</c:v>
                </c:pt>
                <c:pt idx="81">
                  <c:v>26.500001000000001</c:v>
                </c:pt>
                <c:pt idx="82">
                  <c:v>26.500001000000001</c:v>
                </c:pt>
                <c:pt idx="83">
                  <c:v>26.500001000000001</c:v>
                </c:pt>
                <c:pt idx="84">
                  <c:v>26.500001000000001</c:v>
                </c:pt>
                <c:pt idx="85">
                  <c:v>26.500001000000001</c:v>
                </c:pt>
                <c:pt idx="86">
                  <c:v>26.500001000000001</c:v>
                </c:pt>
                <c:pt idx="87">
                  <c:v>26.500001000000001</c:v>
                </c:pt>
                <c:pt idx="88">
                  <c:v>26.500001000000001</c:v>
                </c:pt>
                <c:pt idx="89">
                  <c:v>26.500001000000001</c:v>
                </c:pt>
                <c:pt idx="90">
                  <c:v>26.500001000000001</c:v>
                </c:pt>
                <c:pt idx="91">
                  <c:v>26.500001000000001</c:v>
                </c:pt>
                <c:pt idx="92">
                  <c:v>26.500001000000001</c:v>
                </c:pt>
                <c:pt idx="93">
                  <c:v>26.500001000000001</c:v>
                </c:pt>
                <c:pt idx="94">
                  <c:v>26.500001000000001</c:v>
                </c:pt>
                <c:pt idx="95">
                  <c:v>26.500001000000001</c:v>
                </c:pt>
                <c:pt idx="96">
                  <c:v>26.500001000000001</c:v>
                </c:pt>
                <c:pt idx="97">
                  <c:v>26.500001000000001</c:v>
                </c:pt>
                <c:pt idx="98">
                  <c:v>26.500001000000001</c:v>
                </c:pt>
                <c:pt idx="99">
                  <c:v>26.500001000000001</c:v>
                </c:pt>
                <c:pt idx="100">
                  <c:v>26.500001000000001</c:v>
                </c:pt>
                <c:pt idx="101">
                  <c:v>26.500001000000001</c:v>
                </c:pt>
              </c:numCache>
            </c:numRef>
          </c:xVal>
          <c:yVal>
            <c:numRef>
              <c:f>'Sys Info'!$B$5:$B$106</c:f>
              <c:numCache>
                <c:formatCode>General</c:formatCode>
                <c:ptCount val="102"/>
                <c:pt idx="0">
                  <c:v>16.126000000000001</c:v>
                </c:pt>
                <c:pt idx="1">
                  <c:v>16.263280000000002</c:v>
                </c:pt>
                <c:pt idx="2">
                  <c:v>16.400560000000002</c:v>
                </c:pt>
                <c:pt idx="3">
                  <c:v>16.537840000000003</c:v>
                </c:pt>
                <c:pt idx="4">
                  <c:v>16.67512</c:v>
                </c:pt>
                <c:pt idx="5">
                  <c:v>16.8124</c:v>
                </c:pt>
                <c:pt idx="6">
                  <c:v>16.949680000000001</c:v>
                </c:pt>
                <c:pt idx="7">
                  <c:v>17.086960000000001</c:v>
                </c:pt>
                <c:pt idx="8">
                  <c:v>17.224240000000002</c:v>
                </c:pt>
                <c:pt idx="9">
                  <c:v>17.361520000000002</c:v>
                </c:pt>
                <c:pt idx="10">
                  <c:v>17.498800000000003</c:v>
                </c:pt>
                <c:pt idx="11">
                  <c:v>17.636080000000003</c:v>
                </c:pt>
                <c:pt idx="12">
                  <c:v>17.77336</c:v>
                </c:pt>
                <c:pt idx="13">
                  <c:v>17.910640000000001</c:v>
                </c:pt>
                <c:pt idx="14">
                  <c:v>18.047920000000001</c:v>
                </c:pt>
                <c:pt idx="15">
                  <c:v>18.185200000000002</c:v>
                </c:pt>
                <c:pt idx="16">
                  <c:v>18.322480000000002</c:v>
                </c:pt>
                <c:pt idx="17">
                  <c:v>18.459760000000003</c:v>
                </c:pt>
                <c:pt idx="18">
                  <c:v>18.597040000000003</c:v>
                </c:pt>
                <c:pt idx="19">
                  <c:v>18.734320000000004</c:v>
                </c:pt>
                <c:pt idx="20">
                  <c:v>18.871600000000004</c:v>
                </c:pt>
                <c:pt idx="21">
                  <c:v>19.008880000000005</c:v>
                </c:pt>
                <c:pt idx="22">
                  <c:v>19.146160000000002</c:v>
                </c:pt>
                <c:pt idx="23">
                  <c:v>19.283440000000002</c:v>
                </c:pt>
                <c:pt idx="24">
                  <c:v>19.420720000000003</c:v>
                </c:pt>
                <c:pt idx="25">
                  <c:v>19.558000000000003</c:v>
                </c:pt>
                <c:pt idx="26">
                  <c:v>19.695280000000004</c:v>
                </c:pt>
                <c:pt idx="27">
                  <c:v>19.832560000000004</c:v>
                </c:pt>
                <c:pt idx="28">
                  <c:v>19.969840000000005</c:v>
                </c:pt>
                <c:pt idx="29">
                  <c:v>20.107120000000002</c:v>
                </c:pt>
                <c:pt idx="30">
                  <c:v>20.244400000000006</c:v>
                </c:pt>
                <c:pt idx="31">
                  <c:v>20.381680000000003</c:v>
                </c:pt>
                <c:pt idx="32">
                  <c:v>20.518960000000003</c:v>
                </c:pt>
                <c:pt idx="33">
                  <c:v>20.656240000000004</c:v>
                </c:pt>
                <c:pt idx="34">
                  <c:v>20.793520000000004</c:v>
                </c:pt>
                <c:pt idx="35">
                  <c:v>20.930800000000005</c:v>
                </c:pt>
                <c:pt idx="36">
                  <c:v>21.068080000000002</c:v>
                </c:pt>
                <c:pt idx="37">
                  <c:v>21.205360000000002</c:v>
                </c:pt>
                <c:pt idx="38">
                  <c:v>21.342640000000003</c:v>
                </c:pt>
                <c:pt idx="39">
                  <c:v>21.47992</c:v>
                </c:pt>
                <c:pt idx="40">
                  <c:v>21.6172</c:v>
                </c:pt>
                <c:pt idx="41">
                  <c:v>21.754480000000001</c:v>
                </c:pt>
                <c:pt idx="42">
                  <c:v>21.891760000000001</c:v>
                </c:pt>
                <c:pt idx="43">
                  <c:v>22.029040000000002</c:v>
                </c:pt>
                <c:pt idx="44">
                  <c:v>22.166319999999999</c:v>
                </c:pt>
                <c:pt idx="45">
                  <c:v>22.303599999999999</c:v>
                </c:pt>
                <c:pt idx="46">
                  <c:v>22.44088</c:v>
                </c:pt>
                <c:pt idx="47">
                  <c:v>22.578159999999997</c:v>
                </c:pt>
                <c:pt idx="48">
                  <c:v>22.715439999999997</c:v>
                </c:pt>
                <c:pt idx="49">
                  <c:v>22.852719999999998</c:v>
                </c:pt>
                <c:pt idx="50">
                  <c:v>22.99</c:v>
                </c:pt>
                <c:pt idx="51">
                  <c:v>22.990000260000002</c:v>
                </c:pt>
                <c:pt idx="52">
                  <c:v>22.990000260000002</c:v>
                </c:pt>
                <c:pt idx="53">
                  <c:v>22.990000260000002</c:v>
                </c:pt>
                <c:pt idx="54">
                  <c:v>22.990000260000002</c:v>
                </c:pt>
                <c:pt idx="55">
                  <c:v>22.990000260000002</c:v>
                </c:pt>
                <c:pt idx="56">
                  <c:v>22.990000260000002</c:v>
                </c:pt>
                <c:pt idx="57">
                  <c:v>22.990000260000002</c:v>
                </c:pt>
                <c:pt idx="58">
                  <c:v>22.990000260000002</c:v>
                </c:pt>
                <c:pt idx="59">
                  <c:v>22.990000260000002</c:v>
                </c:pt>
                <c:pt idx="60">
                  <c:v>22.990000260000002</c:v>
                </c:pt>
                <c:pt idx="61">
                  <c:v>22.990000260000002</c:v>
                </c:pt>
                <c:pt idx="62">
                  <c:v>22.990000260000002</c:v>
                </c:pt>
                <c:pt idx="63">
                  <c:v>22.990000260000002</c:v>
                </c:pt>
                <c:pt idx="64">
                  <c:v>22.990000260000002</c:v>
                </c:pt>
                <c:pt idx="65">
                  <c:v>22.990000260000002</c:v>
                </c:pt>
                <c:pt idx="66">
                  <c:v>22.990000260000002</c:v>
                </c:pt>
                <c:pt idx="67">
                  <c:v>22.990000260000002</c:v>
                </c:pt>
                <c:pt idx="68">
                  <c:v>22.990000260000002</c:v>
                </c:pt>
                <c:pt idx="69">
                  <c:v>22.990000260000002</c:v>
                </c:pt>
                <c:pt idx="70">
                  <c:v>22.990000260000002</c:v>
                </c:pt>
                <c:pt idx="71">
                  <c:v>22.990000260000002</c:v>
                </c:pt>
                <c:pt idx="72">
                  <c:v>22.990000260000002</c:v>
                </c:pt>
                <c:pt idx="73">
                  <c:v>22.990000260000002</c:v>
                </c:pt>
                <c:pt idx="74">
                  <c:v>22.990000260000002</c:v>
                </c:pt>
                <c:pt idx="75">
                  <c:v>22.990000260000002</c:v>
                </c:pt>
                <c:pt idx="76">
                  <c:v>22.990000260000002</c:v>
                </c:pt>
                <c:pt idx="77">
                  <c:v>22.990000260000002</c:v>
                </c:pt>
                <c:pt idx="78">
                  <c:v>22.990000260000002</c:v>
                </c:pt>
                <c:pt idx="79">
                  <c:v>22.990000260000002</c:v>
                </c:pt>
                <c:pt idx="80">
                  <c:v>22.990000260000002</c:v>
                </c:pt>
                <c:pt idx="81">
                  <c:v>22.990000260000002</c:v>
                </c:pt>
                <c:pt idx="82">
                  <c:v>22.990000260000002</c:v>
                </c:pt>
                <c:pt idx="83">
                  <c:v>22.990000260000002</c:v>
                </c:pt>
                <c:pt idx="84">
                  <c:v>22.990000260000002</c:v>
                </c:pt>
                <c:pt idx="85">
                  <c:v>22.990000260000002</c:v>
                </c:pt>
                <c:pt idx="86">
                  <c:v>22.990000260000002</c:v>
                </c:pt>
                <c:pt idx="87">
                  <c:v>22.990000260000002</c:v>
                </c:pt>
                <c:pt idx="88">
                  <c:v>22.990000260000002</c:v>
                </c:pt>
                <c:pt idx="89">
                  <c:v>22.990000260000002</c:v>
                </c:pt>
                <c:pt idx="90">
                  <c:v>22.990000260000002</c:v>
                </c:pt>
                <c:pt idx="91">
                  <c:v>22.990000260000002</c:v>
                </c:pt>
                <c:pt idx="92">
                  <c:v>22.990000260000002</c:v>
                </c:pt>
                <c:pt idx="93">
                  <c:v>22.990000260000002</c:v>
                </c:pt>
                <c:pt idx="94">
                  <c:v>22.990000260000002</c:v>
                </c:pt>
                <c:pt idx="95">
                  <c:v>22.990000260000002</c:v>
                </c:pt>
                <c:pt idx="96">
                  <c:v>22.990000260000002</c:v>
                </c:pt>
                <c:pt idx="97">
                  <c:v>22.990000260000002</c:v>
                </c:pt>
                <c:pt idx="98">
                  <c:v>22.990000260000002</c:v>
                </c:pt>
                <c:pt idx="99">
                  <c:v>22.990000260000002</c:v>
                </c:pt>
                <c:pt idx="100">
                  <c:v>22.990000260000002</c:v>
                </c:pt>
                <c:pt idx="101">
                  <c:v>22.990000260000002</c:v>
                </c:pt>
              </c:numCache>
            </c:numRef>
          </c:yVal>
          <c:smooth val="0"/>
          <c:extLst>
            <c:ext xmlns:c16="http://schemas.microsoft.com/office/drawing/2014/chart" uri="{C3380CC4-5D6E-409C-BE32-E72D297353CC}">
              <c16:uniqueId val="{00000000-F29F-4DE9-A12A-1D425D90BBB6}"/>
            </c:ext>
          </c:extLst>
        </c:ser>
        <c:dLbls>
          <c:showLegendKey val="0"/>
          <c:showVal val="0"/>
          <c:showCatName val="0"/>
          <c:showSerName val="0"/>
          <c:showPercent val="0"/>
          <c:showBubbleSize val="0"/>
        </c:dLbls>
        <c:axId val="701505392"/>
        <c:axId val="441971840"/>
      </c:scatterChart>
      <c:valAx>
        <c:axId val="7015053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DUT Output Frequency (GHz)</a:t>
                </a:r>
              </a:p>
            </c:rich>
          </c:tx>
          <c:layout>
            <c:manualLayout>
              <c:xMode val="edge"/>
              <c:yMode val="edge"/>
              <c:x val="0.34627586522614906"/>
              <c:y val="0.8466846753644845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971840"/>
        <c:crosses val="autoZero"/>
        <c:crossBetween val="midCat"/>
      </c:valAx>
      <c:valAx>
        <c:axId val="44197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150539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fmlaLink="$O$4"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CheckBox" checked="Checked" fmlaLink="$D$4"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C$28"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CheckBox" checked="Checked" fmlaLink="$C$14"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L$4" lockText="1" noThreeD="1"/>
</file>

<file path=xl/ctrlProps/ctrlProp23.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Drop" dropLines="14" dropStyle="combo" dx="26" fmlaLink="$S$4" fmlaRange="$X$9:$X$24" noThreeD="1" sel="3" val="0"/>
</file>

<file path=xl/ctrlProps/ctrlProp25.xml><?xml version="1.0" encoding="utf-8"?>
<formControlPr xmlns="http://schemas.microsoft.com/office/spreadsheetml/2009/9/main" objectType="Drop" dropStyle="combo" dx="26" fmlaLink="$A$15" fmlaRange="$K$21:$K$26" noThreeD="1" sel="3" val="0"/>
</file>

<file path=xl/ctrlProps/ctrlProp26.xml><?xml version="1.0" encoding="utf-8"?>
<formControlPr xmlns="http://schemas.microsoft.com/office/spreadsheetml/2009/9/main" objectType="Drop" dropLines="2" dropStyle="combo" dx="26" fmlaLink="$C$4" fmlaRange="$K$12:$K$13" noThreeD="1" sel="1" val="0"/>
</file>

<file path=xl/ctrlProps/ctrlProp27.xml><?xml version="1.0" encoding="utf-8"?>
<formControlPr xmlns="http://schemas.microsoft.com/office/spreadsheetml/2009/9/main" objectType="Drop" dropLines="4" dropStyle="combo" dx="26" fmlaLink="$E$6" fmlaRange="$K$15:$K$18" noThreeD="1" sel="1" val="0"/>
</file>

<file path=xl/ctrlProps/ctrlProp28.xml><?xml version="1.0" encoding="utf-8"?>
<formControlPr xmlns="http://schemas.microsoft.com/office/spreadsheetml/2009/9/main" objectType="Drop" dropStyle="combo" dx="26" fmlaLink="$H$39" fmlaRange="$M$25:$M$27" noThreeD="1" sel="1" val="0"/>
</file>

<file path=xl/ctrlProps/ctrlProp29.xml><?xml version="1.0" encoding="utf-8"?>
<formControlPr xmlns="http://schemas.microsoft.com/office/spreadsheetml/2009/9/main" objectType="Drop" dropStyle="combo" dx="26" fmlaLink="B33" fmlaRange="$B$54:$B$59" noThreeD="1" sel="6" val="0"/>
</file>

<file path=xl/ctrlProps/ctrlProp3.xml><?xml version="1.0" encoding="utf-8"?>
<formControlPr xmlns="http://schemas.microsoft.com/office/spreadsheetml/2009/9/main" objectType="Radio" checked="Checked" firstButton="1" fmlaLink="$A$10" lockText="1" noThreeD="1"/>
</file>

<file path=xl/ctrlProps/ctrlProp30.xml><?xml version="1.0" encoding="utf-8"?>
<formControlPr xmlns="http://schemas.microsoft.com/office/spreadsheetml/2009/9/main" objectType="Drop" dropStyle="combo" dx="26" fmlaLink="B34" fmlaRange="$B$48:$B$50" noThreeD="1" sel="1" val="0"/>
</file>

<file path=xl/ctrlProps/ctrlProp31.xml><?xml version="1.0" encoding="utf-8"?>
<formControlPr xmlns="http://schemas.microsoft.com/office/spreadsheetml/2009/9/main" objectType="Drop" dropStyle="combo" dx="26" fmlaLink="C34" fmlaRange="$B$48:$B$50" noThreeD="1" sel="1" val="0"/>
</file>

<file path=xl/ctrlProps/ctrlProp32.xml><?xml version="1.0" encoding="utf-8"?>
<formControlPr xmlns="http://schemas.microsoft.com/office/spreadsheetml/2009/9/main" objectType="Drop" dropStyle="combo" dx="26" fmlaLink="D34" fmlaRange="$B$48:$B$50" noThreeD="1" sel="1" val="0"/>
</file>

<file path=xl/ctrlProps/ctrlProp33.xml><?xml version="1.0" encoding="utf-8"?>
<formControlPr xmlns="http://schemas.microsoft.com/office/spreadsheetml/2009/9/main" objectType="Drop" dropStyle="combo" dx="26" fmlaLink="C33" fmlaRange="$B$54:$B$59" noThreeD="1" sel="2" val="0"/>
</file>

<file path=xl/ctrlProps/ctrlProp34.xml><?xml version="1.0" encoding="utf-8"?>
<formControlPr xmlns="http://schemas.microsoft.com/office/spreadsheetml/2009/9/main" objectType="Drop" dropStyle="combo" dx="26" fmlaLink="D33" fmlaRange="$B$54:$B$59" noThreeD="1" sel="2" val="0"/>
</file>

<file path=xl/ctrlProps/ctrlProp35.xml><?xml version="1.0" encoding="utf-8"?>
<formControlPr xmlns="http://schemas.microsoft.com/office/spreadsheetml/2009/9/main" objectType="Drop" dropStyle="combo" dx="26" fmlaLink="$C$21" fmlaRange="$K$28:$K$34" noThreeD="1" sel="1" val="0"/>
</file>

<file path=xl/ctrlProps/ctrlProp36.xml><?xml version="1.0" encoding="utf-8"?>
<formControlPr xmlns="http://schemas.microsoft.com/office/spreadsheetml/2009/9/main" objectType="Drop" dropStyle="combo" dx="26" fmlaLink="$F$21" fmlaRange="$K$28:$K$34" noThreeD="1" sel="1" val="0"/>
</file>

<file path=xl/ctrlProps/ctrlProp37.xml><?xml version="1.0" encoding="utf-8"?>
<formControlPr xmlns="http://schemas.microsoft.com/office/spreadsheetml/2009/9/main" objectType="CheckBox" checked="Checked" fmlaLink="A20" lockText="1" noThreeD="1"/>
</file>

<file path=xl/ctrlProps/ctrlProp38.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fmlaLink="$A$28" lockText="1" noThreeD="1"/>
</file>

<file path=xl/ctrlProps/ctrlProp7.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4"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5</xdr:col>
          <xdr:colOff>812800</xdr:colOff>
          <xdr:row>11</xdr:row>
          <xdr:rowOff>171450</xdr:rowOff>
        </xdr:to>
        <xdr:sp macro="" textlink="">
          <xdr:nvSpPr>
            <xdr:cNvPr id="1033" name="Group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171450</xdr:rowOff>
        </xdr:from>
        <xdr:to>
          <xdr:col>5</xdr:col>
          <xdr:colOff>812800</xdr:colOff>
          <xdr:row>19</xdr:row>
          <xdr:rowOff>19050</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165100</xdr:rowOff>
        </xdr:from>
        <xdr:to>
          <xdr:col>0</xdr:col>
          <xdr:colOff>812800</xdr:colOff>
          <xdr:row>11</xdr:row>
          <xdr:rowOff>19050</xdr:rowOff>
        </xdr:to>
        <xdr:sp macro="" textlink="">
          <xdr:nvSpPr>
            <xdr:cNvPr id="1042" name="Option 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Spot Values: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xdr:row>
          <xdr:rowOff>209550</xdr:rowOff>
        </xdr:from>
        <xdr:to>
          <xdr:col>0</xdr:col>
          <xdr:colOff>914400</xdr:colOff>
          <xdr:row>10</xdr:row>
          <xdr:rowOff>38100</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Entered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26</xdr:row>
          <xdr:rowOff>0</xdr:rowOff>
        </xdr:from>
        <xdr:to>
          <xdr:col>2</xdr:col>
          <xdr:colOff>0</xdr:colOff>
          <xdr:row>29</xdr:row>
          <xdr:rowOff>171450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165100</xdr:rowOff>
        </xdr:from>
        <xdr:to>
          <xdr:col>0</xdr:col>
          <xdr:colOff>666750</xdr:colOff>
          <xdr:row>28</xdr:row>
          <xdr:rowOff>19050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Spot Value: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28</xdr:row>
          <xdr:rowOff>0</xdr:rowOff>
        </xdr:from>
        <xdr:to>
          <xdr:col>1</xdr:col>
          <xdr:colOff>285750</xdr:colOff>
          <xdr:row>29</xdr:row>
          <xdr:rowOff>19050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From Noise Source Sheet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xdr:row>
          <xdr:rowOff>12700</xdr:rowOff>
        </xdr:from>
        <xdr:to>
          <xdr:col>2</xdr:col>
          <xdr:colOff>0</xdr:colOff>
          <xdr:row>6</xdr:row>
          <xdr:rowOff>19050</xdr:rowOff>
        </xdr:to>
        <xdr:sp macro="" textlink="">
          <xdr:nvSpPr>
            <xdr:cNvPr id="1059" name="Group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xdr:row>
          <xdr:rowOff>19050</xdr:rowOff>
        </xdr:from>
        <xdr:to>
          <xdr:col>0</xdr:col>
          <xdr:colOff>889000</xdr:colOff>
          <xdr:row>4</xdr:row>
          <xdr:rowOff>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N991xA, 3xA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xdr:row>
          <xdr:rowOff>0</xdr:rowOff>
        </xdr:from>
        <xdr:to>
          <xdr:col>18</xdr:col>
          <xdr:colOff>19050</xdr:colOff>
          <xdr:row>6</xdr:row>
          <xdr:rowOff>19050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2</xdr:row>
          <xdr:rowOff>152400</xdr:rowOff>
        </xdr:from>
        <xdr:to>
          <xdr:col>15</xdr:col>
          <xdr:colOff>31750</xdr:colOff>
          <xdr:row>4</xdr:row>
          <xdr:rowOff>19050</xdr:rowOff>
        </xdr:to>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Fixed: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3</xdr:row>
          <xdr:rowOff>165100</xdr:rowOff>
        </xdr:from>
        <xdr:to>
          <xdr:col>15</xdr:col>
          <xdr:colOff>31750</xdr:colOff>
          <xdr:row>5</xdr:row>
          <xdr:rowOff>31750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Auto: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31750</xdr:rowOff>
        </xdr:from>
        <xdr:to>
          <xdr:col>3</xdr:col>
          <xdr:colOff>781050</xdr:colOff>
          <xdr:row>13</xdr:row>
          <xdr:rowOff>171450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 User 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12700</xdr:rowOff>
        </xdr:from>
        <xdr:to>
          <xdr:col>3</xdr:col>
          <xdr:colOff>781050</xdr:colOff>
          <xdr:row>29</xdr:row>
          <xdr:rowOff>171450</xdr:rowOff>
        </xdr:to>
        <xdr:sp macro="" textlink="">
          <xdr:nvSpPr>
            <xdr:cNvPr id="1081" name="Group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27</xdr:row>
          <xdr:rowOff>19050</xdr:rowOff>
        </xdr:from>
        <xdr:to>
          <xdr:col>2</xdr:col>
          <xdr:colOff>495300</xdr:colOff>
          <xdr:row>27</xdr:row>
          <xdr:rowOff>171450</xdr:rowOff>
        </xdr:to>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1 sd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508000</xdr:colOff>
          <xdr:row>27</xdr:row>
          <xdr:rowOff>19050</xdr:rowOff>
        </xdr:from>
        <xdr:to>
          <xdr:col>3</xdr:col>
          <xdr:colOff>146050</xdr:colOff>
          <xdr:row>27</xdr:row>
          <xdr:rowOff>171450</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2 sd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184150</xdr:rowOff>
        </xdr:from>
        <xdr:to>
          <xdr:col>3</xdr:col>
          <xdr:colOff>0</xdr:colOff>
          <xdr:row>14</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 Preamp</a:t>
              </a:r>
            </a:p>
          </xdr:txBody>
        </xdr:sp>
        <xdr:clientData fLocksWithSheet="0"/>
      </xdr:twoCellAnchor>
    </mc:Choice>
    <mc:Fallback/>
  </mc:AlternateContent>
  <xdr:twoCellAnchor>
    <xdr:from>
      <xdr:col>7</xdr:col>
      <xdr:colOff>12700</xdr:colOff>
      <xdr:row>7</xdr:row>
      <xdr:rowOff>0</xdr:rowOff>
    </xdr:from>
    <xdr:to>
      <xdr:col>18</xdr:col>
      <xdr:colOff>19050</xdr:colOff>
      <xdr:row>21</xdr:row>
      <xdr:rowOff>175261</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203200</xdr:colOff>
          <xdr:row>27</xdr:row>
          <xdr:rowOff>19050</xdr:rowOff>
        </xdr:from>
        <xdr:to>
          <xdr:col>3</xdr:col>
          <xdr:colOff>628650</xdr:colOff>
          <xdr:row>28</xdr:row>
          <xdr:rowOff>0</xdr:rowOff>
        </xdr:to>
        <xdr:sp macro="" textlink="">
          <xdr:nvSpPr>
            <xdr:cNvPr id="1116" name="Option Button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3 sd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0</xdr:col>
          <xdr:colOff>895350</xdr:colOff>
          <xdr:row>5</xdr:row>
          <xdr:rowOff>19050</xdr:rowOff>
        </xdr:to>
        <xdr:sp macro="" textlink="">
          <xdr:nvSpPr>
            <xdr:cNvPr id="1124" name="Option Button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N995xA, 6xA</a:t>
              </a:r>
            </a:p>
          </xdr:txBody>
        </xdr:sp>
        <xdr:clientData/>
      </xdr:twoCellAnchor>
    </mc:Choice>
    <mc:Fallback/>
  </mc:AlternateContent>
  <xdr:twoCellAnchor>
    <xdr:from>
      <xdr:col>7</xdr:col>
      <xdr:colOff>19050</xdr:colOff>
      <xdr:row>22</xdr:row>
      <xdr:rowOff>0</xdr:rowOff>
    </xdr:from>
    <xdr:to>
      <xdr:col>18</xdr:col>
      <xdr:colOff>25400</xdr:colOff>
      <xdr:row>34</xdr:row>
      <xdr:rowOff>177800</xdr:rowOff>
    </xdr:to>
    <xdr:graphicFrame macro="">
      <xdr:nvGraphicFramePr>
        <xdr:cNvPr id="4" name="Chart 1">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18</xdr:col>
          <xdr:colOff>19050</xdr:colOff>
          <xdr:row>2</xdr:row>
          <xdr:rowOff>12700</xdr:rowOff>
        </xdr:from>
        <xdr:to>
          <xdr:col>25</xdr:col>
          <xdr:colOff>0</xdr:colOff>
          <xdr:row>5</xdr:row>
          <xdr:rowOff>57150</xdr:rowOff>
        </xdr:to>
        <xdr:sp macro="" textlink="">
          <xdr:nvSpPr>
            <xdr:cNvPr id="1125" name="Group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18</xdr:col>
      <xdr:colOff>33337</xdr:colOff>
      <xdr:row>7</xdr:row>
      <xdr:rowOff>0</xdr:rowOff>
    </xdr:from>
    <xdr:to>
      <xdr:col>24</xdr:col>
      <xdr:colOff>642938</xdr:colOff>
      <xdr:row>22</xdr:row>
      <xdr:rowOff>4667</xdr:rowOff>
    </xdr:to>
    <xdr:graphicFrame macro="">
      <xdr:nvGraphicFramePr>
        <xdr:cNvPr id="5" name="Chart 1">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19050</xdr:colOff>
          <xdr:row>2</xdr:row>
          <xdr:rowOff>0</xdr:rowOff>
        </xdr:from>
        <xdr:to>
          <xdr:col>14</xdr:col>
          <xdr:colOff>12700</xdr:colOff>
          <xdr:row>6</xdr:row>
          <xdr:rowOff>19050</xdr:rowOff>
        </xdr:to>
        <xdr:sp macro="" textlink="">
          <xdr:nvSpPr>
            <xdr:cNvPr id="1160" name="Group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xdr:row>
          <xdr:rowOff>171450</xdr:rowOff>
        </xdr:from>
        <xdr:to>
          <xdr:col>12</xdr:col>
          <xdr:colOff>50800</xdr:colOff>
          <xdr:row>4</xdr:row>
          <xdr:rowOff>19050</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Fixed: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xdr:row>
          <xdr:rowOff>171450</xdr:rowOff>
        </xdr:from>
        <xdr:to>
          <xdr:col>12</xdr:col>
          <xdr:colOff>50800</xdr:colOff>
          <xdr:row>5</xdr:row>
          <xdr:rowOff>19050</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Auto: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571500</xdr:colOff>
          <xdr:row>3</xdr:row>
          <xdr:rowOff>107950</xdr:rowOff>
        </xdr:from>
        <xdr:to>
          <xdr:col>24</xdr:col>
          <xdr:colOff>127000</xdr:colOff>
          <xdr:row>4</xdr:row>
          <xdr:rowOff>114300</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14</xdr:row>
          <xdr:rowOff>12700</xdr:rowOff>
        </xdr:from>
        <xdr:to>
          <xdr:col>0</xdr:col>
          <xdr:colOff>946150</xdr:colOff>
          <xdr:row>15</xdr:row>
          <xdr:rowOff>12700</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xdr:row>
          <xdr:rowOff>19050</xdr:rowOff>
        </xdr:from>
        <xdr:to>
          <xdr:col>3</xdr:col>
          <xdr:colOff>546100</xdr:colOff>
          <xdr:row>3</xdr:row>
          <xdr:rowOff>171450</xdr:rowOff>
        </xdr:to>
        <xdr:sp macro="" textlink="">
          <xdr:nvSpPr>
            <xdr:cNvPr id="1198" name="Drop Down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19050</xdr:rowOff>
        </xdr:from>
        <xdr:to>
          <xdr:col>4</xdr:col>
          <xdr:colOff>781050</xdr:colOff>
          <xdr:row>5</xdr:row>
          <xdr:rowOff>152400</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24</xdr:row>
          <xdr:rowOff>95250</xdr:rowOff>
        </xdr:from>
        <xdr:to>
          <xdr:col>16</xdr:col>
          <xdr:colOff>590550</xdr:colOff>
          <xdr:row>25</xdr:row>
          <xdr:rowOff>165100</xdr:rowOff>
        </xdr:to>
        <xdr:sp macro="" textlink="">
          <xdr:nvSpPr>
            <xdr:cNvPr id="1201" name="Drop Down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19050</xdr:rowOff>
        </xdr:from>
        <xdr:to>
          <xdr:col>1</xdr:col>
          <xdr:colOff>819150</xdr:colOff>
          <xdr:row>32</xdr:row>
          <xdr:rowOff>152400</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19050</xdr:rowOff>
        </xdr:from>
        <xdr:to>
          <xdr:col>1</xdr:col>
          <xdr:colOff>793750</xdr:colOff>
          <xdr:row>33</xdr:row>
          <xdr:rowOff>165100</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31750</xdr:rowOff>
        </xdr:from>
        <xdr:to>
          <xdr:col>2</xdr:col>
          <xdr:colOff>755650</xdr:colOff>
          <xdr:row>33</xdr:row>
          <xdr:rowOff>165100</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19050</xdr:rowOff>
        </xdr:from>
        <xdr:to>
          <xdr:col>3</xdr:col>
          <xdr:colOff>781050</xdr:colOff>
          <xdr:row>33</xdr:row>
          <xdr:rowOff>171450</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xdr:rowOff>
        </xdr:from>
        <xdr:to>
          <xdr:col>2</xdr:col>
          <xdr:colOff>774700</xdr:colOff>
          <xdr:row>32</xdr:row>
          <xdr:rowOff>146050</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32</xdr:row>
          <xdr:rowOff>19050</xdr:rowOff>
        </xdr:from>
        <xdr:to>
          <xdr:col>3</xdr:col>
          <xdr:colOff>742950</xdr:colOff>
          <xdr:row>32</xdr:row>
          <xdr:rowOff>146050</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23814</xdr:colOff>
      <xdr:row>22</xdr:row>
      <xdr:rowOff>12606</xdr:rowOff>
    </xdr:from>
    <xdr:to>
      <xdr:col>25</xdr:col>
      <xdr:colOff>7939</xdr:colOff>
      <xdr:row>36</xdr:row>
      <xdr:rowOff>9526</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739314" y="3592419"/>
          <a:ext cx="3206750" cy="2489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Keysight FieldFox Noise Figure Uncertainty Calculator</a:t>
          </a:r>
        </a:p>
        <a:p>
          <a:r>
            <a:rPr lang="en-US" sz="1100"/>
            <a:t>Version A.01.04 </a:t>
          </a:r>
        </a:p>
        <a:p>
          <a:r>
            <a:rPr lang="en-US" sz="1100"/>
            <a:t>© 2018 Keysight Technologies</a:t>
          </a:r>
        </a:p>
        <a:p>
          <a:r>
            <a:rPr lang="en-US" sz="1100"/>
            <a:t>All Rights Reserved</a:t>
          </a: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You may use the information presented to adjust the test configuration and measurement settings to optimize your measurement.</a:t>
          </a:r>
          <a:endParaRPr lang="en-US">
            <a:effectLst/>
          </a:endParaRPr>
        </a:p>
        <a:p>
          <a:endParaRPr lang="en-US" sz="1100"/>
        </a:p>
        <a:p>
          <a:r>
            <a:rPr lang="en-US" sz="1100"/>
            <a:t>For</a:t>
          </a:r>
          <a:r>
            <a:rPr lang="en-US" sz="1100" baseline="0"/>
            <a:t> instructions, hover your mouse over "Calculator Instructions" in cell F1</a:t>
          </a:r>
          <a:endParaRPr lang="en-US" sz="1100"/>
        </a:p>
        <a:p>
          <a:endParaRPr lang="en-US" sz="1100"/>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819150</xdr:colOff>
          <xdr:row>20</xdr:row>
          <xdr:rowOff>19050</xdr:rowOff>
        </xdr:from>
        <xdr:to>
          <xdr:col>2</xdr:col>
          <xdr:colOff>762000</xdr:colOff>
          <xdr:row>20</xdr:row>
          <xdr:rowOff>184150</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20</xdr:row>
          <xdr:rowOff>12700</xdr:rowOff>
        </xdr:from>
        <xdr:to>
          <xdr:col>5</xdr:col>
          <xdr:colOff>781050</xdr:colOff>
          <xdr:row>20</xdr:row>
          <xdr:rowOff>171450</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755650</xdr:colOff>
          <xdr:row>19</xdr:row>
          <xdr:rowOff>50800</xdr:rowOff>
        </xdr:from>
        <xdr:to>
          <xdr:col>1</xdr:col>
          <xdr:colOff>57150</xdr:colOff>
          <xdr:row>19</xdr:row>
          <xdr:rowOff>171450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0</xdr:rowOff>
        </xdr:from>
        <xdr:to>
          <xdr:col>0</xdr:col>
          <xdr:colOff>895350</xdr:colOff>
          <xdr:row>6</xdr:row>
          <xdr:rowOff>12700</xdr:rowOff>
        </xdr:to>
        <xdr:sp macro="" textlink="">
          <xdr:nvSpPr>
            <xdr:cNvPr id="1223" name="Option Button 199" descr="N991xB, 6xB"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N991xB, 3xB</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f/MainTFS/src/FieldFox/Application/NoiseFigure/UncertaintySpreadsheet/FieldFoxNFUnc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Sys Info"/>
      <sheetName val="Meas Info"/>
      <sheetName val="Result"/>
      <sheetName val="Cal Noise Std"/>
      <sheetName val="DUT Noise Std"/>
      <sheetName val="FieldFox"/>
      <sheetName val="7227"/>
      <sheetName val="DUT"/>
      <sheetName val="Preamp"/>
      <sheetName val="346"/>
      <sheetName val="Calibration"/>
      <sheetName val="NseMeas"/>
      <sheetName val="CrossChe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76"/>
  <sheetViews>
    <sheetView tabSelected="1" zoomScale="120" zoomScaleNormal="120" workbookViewId="0">
      <selection activeCell="B12" sqref="B12"/>
    </sheetView>
  </sheetViews>
  <sheetFormatPr defaultColWidth="8.81640625" defaultRowHeight="14.5"/>
  <cols>
    <col min="1" max="1" width="14" style="1" customWidth="1"/>
    <col min="2" max="2" width="12" style="1" customWidth="1"/>
    <col min="3" max="3" width="11.26953125" style="1" customWidth="1"/>
    <col min="4" max="4" width="11.7265625" style="1" customWidth="1"/>
    <col min="5" max="5" width="13.54296875" style="1" customWidth="1"/>
    <col min="6" max="6" width="11.81640625" style="1" customWidth="1"/>
    <col min="7" max="7" width="3.26953125" style="1" hidden="1" customWidth="1"/>
    <col min="8" max="8" width="9.26953125" style="1" customWidth="1"/>
    <col min="9" max="9" width="7.1796875" style="1" customWidth="1"/>
    <col min="10" max="10" width="5.7265625" style="1" customWidth="1"/>
    <col min="11" max="11" width="4.7265625" style="1" hidden="1" customWidth="1"/>
    <col min="12" max="12" width="8.54296875" style="1" customWidth="1"/>
    <col min="13" max="13" width="9.26953125" style="1" customWidth="1"/>
    <col min="14" max="14" width="5.81640625" style="1" customWidth="1"/>
    <col min="15" max="15" width="7.81640625" style="1" customWidth="1"/>
    <col min="16" max="16" width="8.81640625" style="1" customWidth="1"/>
    <col min="17" max="17" width="8.7265625" style="1" customWidth="1"/>
    <col min="18" max="18" width="8" style="1" hidden="1" customWidth="1"/>
    <col min="19" max="19" width="10.26953125" style="1" customWidth="1"/>
    <col min="20" max="20" width="11.26953125" style="1" customWidth="1"/>
    <col min="21" max="21" width="0" style="1" hidden="1" customWidth="1"/>
    <col min="22" max="22" width="11.26953125" style="1" customWidth="1"/>
    <col min="23" max="23" width="5.7265625" style="1" customWidth="1"/>
    <col min="24" max="24" width="19.54296875" style="1" hidden="1" customWidth="1"/>
    <col min="25" max="25" width="9.7265625" style="1" customWidth="1"/>
    <col min="26" max="16384" width="8.81640625" style="1"/>
  </cols>
  <sheetData>
    <row r="1" spans="1:25" ht="19" thickBot="1">
      <c r="A1" s="196" t="s">
        <v>235</v>
      </c>
      <c r="B1" s="197"/>
      <c r="C1" s="197"/>
      <c r="D1" s="197"/>
      <c r="E1" s="198"/>
      <c r="F1" s="201" t="s">
        <v>268</v>
      </c>
      <c r="G1" s="202"/>
      <c r="H1" s="202"/>
      <c r="I1" s="202"/>
      <c r="J1" s="199" t="str">
        <f>IF(FFcompressed,"WARNING: Fieldfox may be compressed","")</f>
        <v/>
      </c>
      <c r="K1" s="199"/>
      <c r="L1" s="199"/>
      <c r="M1" s="199"/>
      <c r="N1" s="199"/>
      <c r="O1" s="199"/>
      <c r="P1" s="199"/>
      <c r="Q1" s="23"/>
      <c r="R1" s="23"/>
      <c r="S1" s="23"/>
      <c r="T1" s="23"/>
      <c r="U1" s="23"/>
      <c r="V1" s="23"/>
      <c r="W1" s="23"/>
      <c r="X1" s="23"/>
      <c r="Y1" s="24"/>
    </row>
    <row r="2" spans="1:25" ht="19" hidden="1" thickBot="1">
      <c r="A2" s="118"/>
      <c r="B2" s="119"/>
      <c r="C2" s="6"/>
      <c r="D2" s="6"/>
      <c r="E2" s="6"/>
      <c r="F2" s="6"/>
      <c r="G2" s="6"/>
      <c r="H2" s="6"/>
      <c r="I2" s="6"/>
      <c r="J2" s="200" t="str">
        <f>IF(PreampCompressWarn,"WARNING: Preamp may be compressed","")</f>
        <v/>
      </c>
      <c r="K2" s="200"/>
      <c r="L2" s="200"/>
      <c r="M2" s="200"/>
      <c r="N2" s="200"/>
      <c r="O2" s="200"/>
      <c r="P2" s="200"/>
      <c r="Q2" s="5"/>
      <c r="R2" s="5"/>
      <c r="S2" s="45"/>
      <c r="T2" s="85"/>
      <c r="U2" s="85"/>
      <c r="V2" s="85"/>
      <c r="W2" s="85"/>
      <c r="X2" s="6">
        <f>SelectInfoDisplay</f>
        <v>3</v>
      </c>
      <c r="Y2" s="37"/>
    </row>
    <row r="3" spans="1:25">
      <c r="A3" s="36" t="s">
        <v>26</v>
      </c>
      <c r="B3" s="24"/>
      <c r="C3" s="184" t="s">
        <v>209</v>
      </c>
      <c r="D3" s="185"/>
      <c r="E3" s="36" t="s">
        <v>41</v>
      </c>
      <c r="F3" s="34" t="s">
        <v>164</v>
      </c>
      <c r="G3" s="6"/>
      <c r="H3" s="7" t="s">
        <v>5</v>
      </c>
      <c r="I3" s="8"/>
      <c r="J3" s="9"/>
      <c r="K3" s="5"/>
      <c r="L3" s="10" t="s">
        <v>297</v>
      </c>
      <c r="M3" s="6"/>
      <c r="N3" s="6"/>
      <c r="O3" s="10" t="s">
        <v>296</v>
      </c>
      <c r="P3" s="6"/>
      <c r="Q3" s="6"/>
      <c r="R3" s="6"/>
      <c r="S3" s="176" t="s">
        <v>170</v>
      </c>
      <c r="T3" s="177"/>
      <c r="U3" s="177"/>
      <c r="V3" s="177"/>
      <c r="W3" s="177"/>
      <c r="X3" s="177"/>
      <c r="Y3" s="178"/>
    </row>
    <row r="4" spans="1:25">
      <c r="A4" s="46">
        <v>3</v>
      </c>
      <c r="B4" s="37"/>
      <c r="C4" s="46">
        <v>1</v>
      </c>
      <c r="D4" s="47" t="b">
        <v>1</v>
      </c>
      <c r="E4" s="123" t="s">
        <v>365</v>
      </c>
      <c r="F4" s="35" t="s">
        <v>30</v>
      </c>
      <c r="G4" s="6"/>
      <c r="H4" s="14"/>
      <c r="I4" s="15" t="s">
        <v>210</v>
      </c>
      <c r="J4" s="16" t="s">
        <v>211</v>
      </c>
      <c r="K4" s="6"/>
      <c r="L4" s="48">
        <v>2</v>
      </c>
      <c r="M4" s="6" t="s">
        <v>205</v>
      </c>
      <c r="N4" s="11">
        <v>0.3</v>
      </c>
      <c r="O4" s="48">
        <v>2</v>
      </c>
      <c r="P4" s="6" t="s">
        <v>205</v>
      </c>
      <c r="Q4" s="11">
        <v>0.3</v>
      </c>
      <c r="R4" s="43"/>
      <c r="S4" s="46">
        <v>3</v>
      </c>
      <c r="T4" s="45"/>
      <c r="U4" s="45"/>
      <c r="V4" s="45"/>
      <c r="W4" s="45"/>
      <c r="X4" s="45"/>
      <c r="Y4" s="37"/>
    </row>
    <row r="5" spans="1:25">
      <c r="A5" s="49"/>
      <c r="B5" s="37"/>
      <c r="C5" s="30"/>
      <c r="D5" s="45"/>
      <c r="E5" s="151" t="s">
        <v>30</v>
      </c>
      <c r="F5" s="33" t="s">
        <v>213</v>
      </c>
      <c r="G5" s="6"/>
      <c r="H5" s="18" t="s">
        <v>207</v>
      </c>
      <c r="I5" s="12">
        <v>0.1</v>
      </c>
      <c r="J5" s="13">
        <v>3</v>
      </c>
      <c r="K5" s="44">
        <f>MAX(0.000003,MIN(I4,I5,50))</f>
        <v>0.1</v>
      </c>
      <c r="L5" s="45"/>
      <c r="M5" s="6" t="s">
        <v>206</v>
      </c>
      <c r="N5" s="11">
        <v>11</v>
      </c>
      <c r="O5" s="45"/>
      <c r="P5" s="6" t="s">
        <v>206</v>
      </c>
      <c r="Q5" s="11">
        <v>19</v>
      </c>
      <c r="R5" s="43"/>
      <c r="S5" s="49"/>
      <c r="T5" s="45"/>
      <c r="U5" s="45"/>
      <c r="V5" s="45"/>
      <c r="W5" s="45"/>
      <c r="X5" s="45"/>
      <c r="Y5" s="37"/>
    </row>
    <row r="6" spans="1:25" ht="15" thickBot="1">
      <c r="A6" s="31"/>
      <c r="B6" s="32"/>
      <c r="C6" s="31"/>
      <c r="D6" s="32"/>
      <c r="E6" s="51">
        <v>1</v>
      </c>
      <c r="F6" s="152">
        <v>3</v>
      </c>
      <c r="G6" s="6"/>
      <c r="H6" s="18" t="s">
        <v>208</v>
      </c>
      <c r="I6" s="12">
        <v>26.5</v>
      </c>
      <c r="J6" s="13">
        <v>1</v>
      </c>
      <c r="K6" s="44">
        <f>MIN(50,MAX(0.000003,I5,I6))</f>
        <v>26.5</v>
      </c>
      <c r="L6" s="6"/>
      <c r="M6" s="45" t="s">
        <v>204</v>
      </c>
      <c r="N6" s="11">
        <v>0.5</v>
      </c>
      <c r="O6" s="6"/>
      <c r="P6" s="45" t="s">
        <v>204</v>
      </c>
      <c r="Q6" s="11">
        <v>0.25</v>
      </c>
      <c r="R6" s="43"/>
      <c r="S6" s="49"/>
      <c r="T6" s="45"/>
      <c r="U6" s="45"/>
      <c r="V6" s="45"/>
      <c r="W6" s="45"/>
      <c r="X6" s="45"/>
      <c r="Y6" s="121"/>
    </row>
    <row r="7" spans="1:25" ht="19" thickBot="1">
      <c r="A7" s="30"/>
      <c r="B7" s="17"/>
      <c r="C7" s="6"/>
      <c r="D7" s="6"/>
      <c r="E7" s="6"/>
      <c r="F7" s="153" t="s">
        <v>236</v>
      </c>
      <c r="G7" s="6"/>
      <c r="H7" s="18" t="s">
        <v>6</v>
      </c>
      <c r="I7" s="12">
        <v>51</v>
      </c>
      <c r="J7" s="19">
        <f>IF(NumPoints&gt;1,(ConverterInputStop-ConverterInputStart)/(NumPoints-1),0)</f>
        <v>-0.04</v>
      </c>
      <c r="K7" s="5">
        <f>MIN(101,MAX(I7,1))</f>
        <v>51</v>
      </c>
      <c r="L7" s="203" t="str">
        <f>IF(AND(UsePreamp,NOT(UseUserCal)),"Note: Preamp used without user calibration","")</f>
        <v/>
      </c>
      <c r="M7" s="203"/>
      <c r="N7" s="203"/>
      <c r="O7" s="203"/>
      <c r="P7" s="203"/>
      <c r="Q7" s="203"/>
      <c r="R7" s="5"/>
      <c r="S7" s="179" t="str">
        <f>'Sys Info'!B4</f>
        <v>Preamp Gain (dB)</v>
      </c>
      <c r="T7" s="180"/>
      <c r="U7" s="180"/>
      <c r="V7" s="180"/>
      <c r="W7" s="180"/>
      <c r="X7" s="180"/>
      <c r="Y7" s="181"/>
    </row>
    <row r="8" spans="1:25" ht="15" hidden="1" thickBot="1">
      <c r="A8" s="49"/>
      <c r="B8" s="45"/>
      <c r="C8" s="45"/>
      <c r="D8" s="45"/>
      <c r="E8" s="45"/>
      <c r="F8" s="45"/>
      <c r="G8" s="45"/>
      <c r="H8" s="48" t="s">
        <v>7</v>
      </c>
      <c r="I8" s="48">
        <f>IF(NumPoints&gt;1,(StopFreqGHz-StartFreqGHz)/(NumPoints-1),0)</f>
        <v>0.52800000000000002</v>
      </c>
      <c r="J8" s="45"/>
      <c r="K8" s="44"/>
      <c r="L8" s="44"/>
      <c r="M8" s="44"/>
      <c r="N8" s="44"/>
      <c r="O8" s="44"/>
      <c r="P8" s="44"/>
      <c r="Q8" s="44"/>
      <c r="R8" s="44"/>
      <c r="S8" s="49"/>
      <c r="T8" s="45"/>
      <c r="U8" s="45"/>
      <c r="V8" s="45"/>
      <c r="W8" s="45"/>
      <c r="X8" s="45"/>
      <c r="Y8" s="121"/>
    </row>
    <row r="9" spans="1:25">
      <c r="A9" s="36" t="s">
        <v>3</v>
      </c>
      <c r="B9" s="149"/>
      <c r="C9" s="150" t="s">
        <v>117</v>
      </c>
      <c r="D9" s="150" t="s">
        <v>211</v>
      </c>
      <c r="E9" s="150" t="s">
        <v>210</v>
      </c>
      <c r="F9" s="76" t="s">
        <v>236</v>
      </c>
      <c r="G9" s="6"/>
      <c r="H9" s="45"/>
      <c r="I9" s="45"/>
      <c r="J9" s="45"/>
      <c r="K9" s="45"/>
      <c r="L9" s="45"/>
      <c r="M9" s="45"/>
      <c r="N9" s="45"/>
      <c r="O9" s="5"/>
      <c r="P9" s="5"/>
      <c r="Q9" s="5"/>
      <c r="R9" s="5"/>
      <c r="S9" s="30"/>
      <c r="T9" s="6"/>
      <c r="U9" s="6"/>
      <c r="V9" s="6"/>
      <c r="W9" s="6"/>
      <c r="X9" s="6" t="s">
        <v>248</v>
      </c>
      <c r="Y9" s="37"/>
    </row>
    <row r="10" spans="1:25">
      <c r="A10" s="46">
        <v>1</v>
      </c>
      <c r="B10" s="128" t="s">
        <v>119</v>
      </c>
      <c r="C10" s="128" t="s">
        <v>118</v>
      </c>
      <c r="D10" s="147" t="str">
        <f>IF(D12&gt;1,"VSWR",IF(D12=1,"No ",IF(D12&gt;0,"Refl. Coef.","Ret. Loss")))</f>
        <v>Refl. Coef.</v>
      </c>
      <c r="E10" s="147" t="str">
        <f>IF(E12&gt;1,"VSWR",IF(E12=1,"No ",IF(E12&gt;0,"Refl. Coef.","Ret. Loss")))</f>
        <v>Ret. Loss</v>
      </c>
      <c r="F10" s="144" t="str">
        <f>IF(UseReverse,"Rev. Noise","")</f>
        <v/>
      </c>
      <c r="G10" s="6"/>
      <c r="H10" s="45"/>
      <c r="I10" s="45"/>
      <c r="J10" s="45"/>
      <c r="K10" s="45"/>
      <c r="L10" s="45"/>
      <c r="M10" s="45"/>
      <c r="N10" s="45"/>
      <c r="O10" s="5"/>
      <c r="P10" s="5"/>
      <c r="Q10" s="5"/>
      <c r="R10" s="5"/>
      <c r="S10" s="30"/>
      <c r="T10" s="6"/>
      <c r="U10" s="6"/>
      <c r="V10" s="6"/>
      <c r="W10" s="6"/>
      <c r="X10" s="6" t="s">
        <v>324</v>
      </c>
      <c r="Y10" s="37"/>
    </row>
    <row r="11" spans="1:25">
      <c r="A11" s="49"/>
      <c r="B11" s="128" t="s">
        <v>215</v>
      </c>
      <c r="C11" s="128" t="s">
        <v>215</v>
      </c>
      <c r="D11" s="147" t="str">
        <f>IF(D12=1,"Mismatch",IF(D12&gt;0,"","dB"))</f>
        <v/>
      </c>
      <c r="E11" s="147" t="str">
        <f>IF(E12=1,"Mismatch",IF(E12&gt;0,"","dB"))</f>
        <v>dB</v>
      </c>
      <c r="F11" s="145" t="str">
        <f>IF(UseReverse,"Factor","")</f>
        <v/>
      </c>
      <c r="G11" s="6"/>
      <c r="H11" s="6"/>
      <c r="I11" s="6"/>
      <c r="J11" s="6"/>
      <c r="K11" s="6"/>
      <c r="L11" s="6"/>
      <c r="M11" s="6"/>
      <c r="N11" s="6"/>
      <c r="O11" s="5"/>
      <c r="P11" s="5"/>
      <c r="Q11" s="6"/>
      <c r="R11" s="6"/>
      <c r="S11" s="30"/>
      <c r="T11" s="6"/>
      <c r="U11" s="6"/>
      <c r="V11" s="6"/>
      <c r="W11" s="6"/>
      <c r="X11" s="6" t="s">
        <v>250</v>
      </c>
      <c r="Y11" s="37"/>
    </row>
    <row r="12" spans="1:25" ht="15" thickBot="1">
      <c r="A12" s="146"/>
      <c r="B12" s="39">
        <v>20</v>
      </c>
      <c r="C12" s="39">
        <v>4</v>
      </c>
      <c r="D12" s="39">
        <v>0.2</v>
      </c>
      <c r="E12" s="39">
        <v>-10</v>
      </c>
      <c r="F12" s="148">
        <v>0.2</v>
      </c>
      <c r="G12" s="17"/>
      <c r="H12" s="6"/>
      <c r="I12" s="6"/>
      <c r="J12" s="6"/>
      <c r="K12" s="6" t="s">
        <v>269</v>
      </c>
      <c r="L12" s="6"/>
      <c r="M12" s="6"/>
      <c r="N12" s="6"/>
      <c r="O12" s="6"/>
      <c r="P12" s="6"/>
      <c r="Q12" s="6"/>
      <c r="R12" s="6"/>
      <c r="S12" s="30"/>
      <c r="T12" s="6"/>
      <c r="U12" s="6"/>
      <c r="V12" s="6"/>
      <c r="W12" s="6"/>
      <c r="X12" s="6" t="s">
        <v>251</v>
      </c>
      <c r="Y12" s="37"/>
    </row>
    <row r="13" spans="1:25" ht="15" hidden="1" thickBot="1">
      <c r="A13" s="49"/>
      <c r="B13" s="45"/>
      <c r="C13" s="45"/>
      <c r="D13" s="19">
        <f>IF(D12&gt;1,((D12-1)/(D12+1)),IF(D12=1,0,IF(D12&gt;0,D12,IF(D12=0,1,10^(D12/20)))))</f>
        <v>0.2</v>
      </c>
      <c r="E13" s="19">
        <f>IF(E12&gt;1,((E12-1)/(E12+1)),IF(E12=1,0,IF(E12&gt;0,E12,IF(E12=0,1,10^(E12/20)))))</f>
        <v>0.31622776601683794</v>
      </c>
      <c r="F13" s="45"/>
      <c r="G13" s="6"/>
      <c r="H13" s="6"/>
      <c r="I13" s="6"/>
      <c r="J13" s="6"/>
      <c r="K13" s="6" t="s">
        <v>263</v>
      </c>
      <c r="L13" s="6"/>
      <c r="M13" s="6"/>
      <c r="N13" s="6"/>
      <c r="O13" s="6"/>
      <c r="P13" s="6"/>
      <c r="Q13" s="6"/>
      <c r="R13" s="6"/>
      <c r="S13" s="30"/>
      <c r="T13" s="6"/>
      <c r="U13" s="6"/>
      <c r="V13" s="6"/>
      <c r="W13" s="6"/>
      <c r="X13" s="6" t="s">
        <v>325</v>
      </c>
      <c r="Y13" s="37"/>
    </row>
    <row r="14" spans="1:25">
      <c r="A14" s="36" t="s">
        <v>8</v>
      </c>
      <c r="B14" s="50"/>
      <c r="C14" s="53" t="b">
        <v>1</v>
      </c>
      <c r="D14" s="50"/>
      <c r="E14" s="50"/>
      <c r="F14" s="76" t="s">
        <v>236</v>
      </c>
      <c r="G14" s="6" t="s">
        <v>0</v>
      </c>
      <c r="H14" s="6"/>
      <c r="I14" s="6"/>
      <c r="J14" s="6"/>
      <c r="K14" s="6"/>
      <c r="L14" s="6"/>
      <c r="M14" s="6"/>
      <c r="N14" s="6"/>
      <c r="O14" s="6"/>
      <c r="P14" s="6"/>
      <c r="Q14" s="6" t="s">
        <v>0</v>
      </c>
      <c r="R14" s="6"/>
      <c r="S14" s="30"/>
      <c r="T14" s="6"/>
      <c r="U14" s="6"/>
      <c r="V14" s="6"/>
      <c r="W14" s="6"/>
      <c r="X14" s="6" t="s">
        <v>249</v>
      </c>
      <c r="Y14" s="37"/>
    </row>
    <row r="15" spans="1:25">
      <c r="A15" s="139">
        <v>3</v>
      </c>
      <c r="B15" s="14"/>
      <c r="C15" s="129" t="s">
        <v>211</v>
      </c>
      <c r="D15" s="129" t="s">
        <v>210</v>
      </c>
      <c r="E15" s="14"/>
      <c r="F15" s="141" t="s">
        <v>0</v>
      </c>
      <c r="G15" s="6"/>
      <c r="H15" s="6"/>
      <c r="I15" s="6"/>
      <c r="J15" s="6"/>
      <c r="K15" s="6" t="s">
        <v>264</v>
      </c>
      <c r="L15" s="6"/>
      <c r="M15" s="6"/>
      <c r="N15" s="6"/>
      <c r="O15" s="6"/>
      <c r="P15" s="6"/>
      <c r="Q15" s="6"/>
      <c r="R15" s="6"/>
      <c r="S15" s="30"/>
      <c r="T15" s="6"/>
      <c r="U15" s="6"/>
      <c r="V15" s="6"/>
      <c r="W15" s="6"/>
      <c r="X15" s="6" t="s">
        <v>252</v>
      </c>
      <c r="Y15" s="37"/>
    </row>
    <row r="16" spans="1:25">
      <c r="A16" s="140" t="s">
        <v>116</v>
      </c>
      <c r="B16" s="137" t="s">
        <v>214</v>
      </c>
      <c r="C16" s="129" t="str">
        <f>IF(C18&gt;1,"VSWR",IF(C18=1,"No ",IF(C18&gt;0,"Refl. Coef.","Ret. Loss")))</f>
        <v>Ret. Loss</v>
      </c>
      <c r="D16" s="129" t="str">
        <f>IF(D18&gt;1,"VSWR",IF(D18=1,"No ",IF(D18&gt;0,"Refl. Coef.","Ret. Loss")))</f>
        <v>Ret. Loss</v>
      </c>
      <c r="E16" s="137" t="s">
        <v>216</v>
      </c>
      <c r="F16" s="142" t="str">
        <f>IF(UseReverse,"Rev. Noise","")</f>
        <v/>
      </c>
      <c r="G16" s="6"/>
      <c r="H16" s="6"/>
      <c r="I16" s="6"/>
      <c r="J16" s="6"/>
      <c r="K16" s="6" t="s">
        <v>265</v>
      </c>
      <c r="L16" s="6"/>
      <c r="M16" s="6"/>
      <c r="N16" s="6"/>
      <c r="O16" s="6"/>
      <c r="P16" s="6"/>
      <c r="Q16" s="6"/>
      <c r="R16" s="6"/>
      <c r="S16" s="30"/>
      <c r="T16" s="6"/>
      <c r="U16" s="6"/>
      <c r="V16" s="6"/>
      <c r="W16" s="6"/>
      <c r="X16" s="6" t="s">
        <v>253</v>
      </c>
      <c r="Y16" s="37"/>
    </row>
    <row r="17" spans="1:25">
      <c r="A17" s="140" t="s">
        <v>215</v>
      </c>
      <c r="B17" s="137" t="s">
        <v>215</v>
      </c>
      <c r="C17" s="130" t="str">
        <f>IF(C18=1,"Mismatch",IF(C18&gt;0,"","dB"))</f>
        <v>dB</v>
      </c>
      <c r="D17" s="130" t="str">
        <f>IF(D18=1,"Mismatch",IF(D18&gt;0,"","dB"))</f>
        <v>dB</v>
      </c>
      <c r="E17" s="138" t="s">
        <v>158</v>
      </c>
      <c r="F17" s="142" t="str">
        <f>IF(UseReverse,"Factor","")</f>
        <v/>
      </c>
      <c r="G17" s="6"/>
      <c r="H17" s="6"/>
      <c r="I17" s="6"/>
      <c r="J17" s="6"/>
      <c r="K17" s="6" t="s">
        <v>266</v>
      </c>
      <c r="L17" s="6"/>
      <c r="M17" s="6"/>
      <c r="N17" s="6"/>
      <c r="O17" s="6"/>
      <c r="P17" s="6"/>
      <c r="Q17" s="6"/>
      <c r="R17" s="6"/>
      <c r="S17" s="30"/>
      <c r="T17" s="6"/>
      <c r="U17" s="6"/>
      <c r="V17" s="6"/>
      <c r="W17" s="6"/>
      <c r="X17" s="6" t="s">
        <v>331</v>
      </c>
      <c r="Y17" s="37"/>
    </row>
    <row r="18" spans="1:25" ht="15" thickBot="1">
      <c r="A18" s="38">
        <v>20</v>
      </c>
      <c r="B18" s="39">
        <v>4</v>
      </c>
      <c r="C18" s="39">
        <v>-20</v>
      </c>
      <c r="D18" s="39">
        <v>-15</v>
      </c>
      <c r="E18" s="39">
        <v>19</v>
      </c>
      <c r="F18" s="143">
        <v>0.3</v>
      </c>
      <c r="G18" s="6"/>
      <c r="H18" s="6"/>
      <c r="I18" s="6"/>
      <c r="J18" s="6"/>
      <c r="K18" s="6" t="s">
        <v>267</v>
      </c>
      <c r="L18" s="6"/>
      <c r="M18" s="6"/>
      <c r="N18" s="6"/>
      <c r="O18" s="6"/>
      <c r="P18" s="6"/>
      <c r="Q18" s="6"/>
      <c r="R18" s="6"/>
      <c r="S18" s="30"/>
      <c r="T18" s="6"/>
      <c r="U18" s="6"/>
      <c r="V18" s="6"/>
      <c r="W18" s="6"/>
      <c r="X18" s="6" t="s">
        <v>332</v>
      </c>
      <c r="Y18" s="37"/>
    </row>
    <row r="19" spans="1:25" hidden="1">
      <c r="A19" s="49"/>
      <c r="B19" s="45"/>
      <c r="C19" s="19">
        <f>IF(C18&gt;1,((C18-1)/(C18+1)),IF(C18=1,0,IF(C18&gt;0,C18,IF(C18=0,1,10^(C18/20)))))</f>
        <v>0.1</v>
      </c>
      <c r="D19" s="19">
        <f>IF(D18&gt;1,((D18-1)/(D18+1)),IF(D18=1,0,IF(D18&gt;0,D18,IF(D18=0,1,10^(D18/20)))))</f>
        <v>0.17782794100389224</v>
      </c>
      <c r="E19" s="45"/>
      <c r="F19" s="45"/>
      <c r="G19" s="6"/>
      <c r="H19" s="6"/>
      <c r="I19" s="6"/>
      <c r="J19" s="6"/>
      <c r="K19" s="6"/>
      <c r="L19" s="6"/>
      <c r="M19" s="6"/>
      <c r="N19" s="6"/>
      <c r="O19" s="6"/>
      <c r="P19" s="6"/>
      <c r="Q19" s="6"/>
      <c r="R19" s="6"/>
      <c r="S19" s="30"/>
      <c r="T19" s="6"/>
      <c r="U19" s="6"/>
      <c r="V19" s="6"/>
      <c r="W19" s="6"/>
      <c r="X19" s="6" t="s">
        <v>254</v>
      </c>
      <c r="Y19" s="37"/>
    </row>
    <row r="20" spans="1:25" ht="15" thickBot="1">
      <c r="A20" s="161" t="b">
        <v>1</v>
      </c>
      <c r="B20" s="195" t="s">
        <v>364</v>
      </c>
      <c r="C20" s="195"/>
      <c r="D20" s="195"/>
      <c r="E20" s="195"/>
      <c r="F20" s="195"/>
      <c r="G20" s="6"/>
      <c r="H20" s="6"/>
      <c r="I20" s="6"/>
      <c r="J20" s="6"/>
      <c r="K20" s="6"/>
      <c r="L20" s="6"/>
      <c r="M20" s="6"/>
      <c r="N20" s="6"/>
      <c r="O20" s="6"/>
      <c r="P20" s="6"/>
      <c r="Q20" s="6"/>
      <c r="R20" s="6"/>
      <c r="S20" s="30"/>
      <c r="T20" s="6"/>
      <c r="U20" s="6"/>
      <c r="V20" s="6"/>
      <c r="W20" s="6"/>
      <c r="X20" s="6" t="s">
        <v>255</v>
      </c>
      <c r="Y20" s="37"/>
    </row>
    <row r="21" spans="1:25" ht="15" thickBot="1">
      <c r="A21" s="120" t="s">
        <v>360</v>
      </c>
      <c r="B21" s="50"/>
      <c r="C21" s="52">
        <v>1</v>
      </c>
      <c r="D21" s="194" t="s">
        <v>361</v>
      </c>
      <c r="E21" s="194"/>
      <c r="F21" s="127">
        <v>1</v>
      </c>
      <c r="G21" s="6"/>
      <c r="H21" s="6"/>
      <c r="I21" s="6"/>
      <c r="J21" s="6"/>
      <c r="K21" s="6" t="s">
        <v>256</v>
      </c>
      <c r="L21" s="6"/>
      <c r="M21" s="6"/>
      <c r="N21" s="6"/>
      <c r="O21" s="6"/>
      <c r="P21" s="6"/>
      <c r="Q21" s="6"/>
      <c r="R21" s="6"/>
      <c r="S21" s="30"/>
      <c r="T21" s="6"/>
      <c r="U21" s="6"/>
      <c r="V21" s="6"/>
      <c r="W21" s="6"/>
      <c r="X21" s="6" t="s">
        <v>333</v>
      </c>
      <c r="Y21" s="37"/>
    </row>
    <row r="22" spans="1:25">
      <c r="A22" s="66" t="s">
        <v>236</v>
      </c>
      <c r="B22" s="129" t="s">
        <v>261</v>
      </c>
      <c r="C22" s="131" t="s">
        <v>262</v>
      </c>
      <c r="D22" s="134"/>
      <c r="E22" s="135" t="s">
        <v>261</v>
      </c>
      <c r="F22" s="136" t="s">
        <v>262</v>
      </c>
      <c r="G22" s="6"/>
      <c r="H22" s="6"/>
      <c r="I22" s="6"/>
      <c r="J22" s="6"/>
      <c r="K22" s="6" t="s">
        <v>257</v>
      </c>
      <c r="L22" s="6"/>
      <c r="M22" s="6"/>
      <c r="N22" s="6"/>
      <c r="O22" s="6"/>
      <c r="P22" s="6"/>
      <c r="Q22" s="6"/>
      <c r="R22" s="6"/>
      <c r="S22" s="30"/>
      <c r="T22" s="6"/>
      <c r="U22" s="6"/>
      <c r="V22" s="6"/>
      <c r="W22" s="6"/>
      <c r="X22" s="6" t="s">
        <v>334</v>
      </c>
      <c r="Y22" s="37"/>
    </row>
    <row r="23" spans="1:25">
      <c r="A23" s="132" t="s">
        <v>115</v>
      </c>
      <c r="B23" s="129" t="str">
        <f>IF(B25&gt;1,"VSWR",IF(B25=1,"No ",IF(B25&gt;0,"Refl. Coef.","Ret. Loss")))</f>
        <v>Refl. Coef.</v>
      </c>
      <c r="C23" s="131" t="str">
        <f>IF(C25&gt;1,"VSWR",IF(C25=1,"No ",IF(C25&gt;0,"Refl. Coef.","Ret. Loss")))</f>
        <v>Ret. Loss</v>
      </c>
      <c r="D23" s="132" t="s">
        <v>115</v>
      </c>
      <c r="E23" s="129" t="str">
        <f>IF(E25&gt;1,"VSWR",IF(E25=1,"No ",IF(E25&gt;0,"Refl. Coef.","Ret. Loss")))</f>
        <v>Refl. Coef.</v>
      </c>
      <c r="F23" s="131" t="str">
        <f>IF(F25&gt;1,"VSWR",IF(F25=1,"No ",IF(F25&gt;0,"Refl. Coef.","Ret. Loss")))</f>
        <v>Refl. Coef.</v>
      </c>
      <c r="G23" s="6"/>
      <c r="H23" s="6"/>
      <c r="I23" s="6"/>
      <c r="J23" s="6"/>
      <c r="K23" s="6" t="s">
        <v>258</v>
      </c>
      <c r="L23" s="6"/>
      <c r="M23" s="6"/>
      <c r="N23" s="6"/>
      <c r="O23" s="6"/>
      <c r="P23" s="6"/>
      <c r="Q23" s="6"/>
      <c r="R23" s="6"/>
      <c r="S23" s="30"/>
      <c r="T23" s="6"/>
      <c r="U23" s="6"/>
      <c r="V23" s="6"/>
      <c r="W23" s="6"/>
      <c r="X23" s="45" t="s">
        <v>369</v>
      </c>
      <c r="Y23" s="37"/>
    </row>
    <row r="24" spans="1:25">
      <c r="A24" s="132" t="s">
        <v>113</v>
      </c>
      <c r="B24" s="130" t="str">
        <f>IF(B25=1,"Mismatch",IF(B25&gt;0,"","dB"))</f>
        <v/>
      </c>
      <c r="C24" s="133" t="str">
        <f>IF(C25=1,"Mismatch",IF(C25&gt;0,"","dB"))</f>
        <v>dB</v>
      </c>
      <c r="D24" s="132" t="s">
        <v>113</v>
      </c>
      <c r="E24" s="130" t="str">
        <f>IF(E25=1,"Mismatch",IF(E25&gt;0,"","dB"))</f>
        <v/>
      </c>
      <c r="F24" s="133" t="str">
        <f>IF(F25=1,"Mismatch",IF(F25&gt;0,"","dB"))</f>
        <v/>
      </c>
      <c r="G24" s="6"/>
      <c r="H24" s="6"/>
      <c r="I24" s="6"/>
      <c r="J24" s="6"/>
      <c r="K24" s="6" t="s">
        <v>259</v>
      </c>
      <c r="L24" s="6"/>
      <c r="M24" s="6"/>
      <c r="N24" s="6"/>
      <c r="O24" s="6"/>
      <c r="P24" s="6"/>
      <c r="Q24" s="6"/>
      <c r="R24" s="6"/>
      <c r="S24" s="30"/>
      <c r="T24" s="6"/>
      <c r="U24" s="6"/>
      <c r="V24" s="6"/>
      <c r="W24" s="6"/>
      <c r="X24" s="45" t="s">
        <v>370</v>
      </c>
      <c r="Y24" s="121"/>
    </row>
    <row r="25" spans="1:25" ht="15" thickBot="1">
      <c r="A25" s="38">
        <v>5</v>
      </c>
      <c r="B25" s="39">
        <v>0.1</v>
      </c>
      <c r="C25" s="40">
        <v>0</v>
      </c>
      <c r="D25" s="124">
        <v>12</v>
      </c>
      <c r="E25" s="125">
        <v>0.22</v>
      </c>
      <c r="F25" s="126">
        <v>0.12</v>
      </c>
      <c r="G25" s="6"/>
      <c r="H25" s="6"/>
      <c r="I25" s="6"/>
      <c r="J25" s="6"/>
      <c r="K25" s="6" t="s">
        <v>240</v>
      </c>
      <c r="L25" s="6"/>
      <c r="M25" s="6" t="s">
        <v>273</v>
      </c>
      <c r="N25" s="6"/>
      <c r="O25" s="6"/>
      <c r="P25" s="6"/>
      <c r="Q25" s="6"/>
      <c r="R25" s="6"/>
      <c r="S25" s="30"/>
      <c r="T25" s="6"/>
      <c r="U25" s="6"/>
      <c r="V25" s="6"/>
      <c r="W25" s="6"/>
      <c r="X25" s="45"/>
      <c r="Y25" s="37"/>
    </row>
    <row r="26" spans="1:25" ht="15" thickBot="1">
      <c r="A26" s="49"/>
      <c r="B26" s="19">
        <f>IF(B25&gt;1,((B25-1)/(B25+1)),IF(B25=1,0,IF(B25&gt;0,B25,IF(B25=0,1,10^(B25/20)))))</f>
        <v>0.1</v>
      </c>
      <c r="C26" s="19">
        <f>IF(C25&gt;1,((C25-1)/(C25+1)),IF(C25=1,0,IF(C25&gt;0,C25,IF(C25=0,1,10^(C25/20)))))</f>
        <v>1</v>
      </c>
      <c r="D26" s="45">
        <f>1*NOT(A20)*($D$4)</f>
        <v>0</v>
      </c>
      <c r="E26" s="19">
        <f>IF(D22,SF_NSgamma,IF(E25&gt;1,((E25-1)/(E25+1)),IF(E25=1,0,IF(E25&gt;0,E25,IF(E25=0,1,10^(E25/20))))))</f>
        <v>0.22</v>
      </c>
      <c r="F26" s="19">
        <f>IF(D22,SF_GamCold,IF(F25&gt;1,((F25-1)/(F25+1)),IF(F25=1,0,IF(F25&gt;0,F25,IF(F25=0,1,10^(F25/20))))))</f>
        <v>0.12</v>
      </c>
      <c r="G26" s="6"/>
      <c r="H26" s="6"/>
      <c r="I26" s="6"/>
      <c r="J26" s="6"/>
      <c r="K26" s="6" t="s">
        <v>260</v>
      </c>
      <c r="L26" s="6"/>
      <c r="M26" s="6" t="s">
        <v>151</v>
      </c>
      <c r="N26" s="6"/>
      <c r="O26" s="6"/>
      <c r="P26" s="6"/>
      <c r="Q26" s="6"/>
      <c r="R26" s="6"/>
      <c r="S26" s="30"/>
      <c r="T26" s="6"/>
      <c r="U26" s="6"/>
      <c r="V26" s="6"/>
      <c r="W26" s="6"/>
      <c r="X26" s="6" t="str">
        <f>IF(UseReverse,"DUT Reverse Wave Factor","")</f>
        <v/>
      </c>
      <c r="Y26" s="37"/>
    </row>
    <row r="27" spans="1:25">
      <c r="A27" s="184" t="s">
        <v>25</v>
      </c>
      <c r="B27" s="185"/>
      <c r="C27" s="186" t="s">
        <v>153</v>
      </c>
      <c r="D27" s="187"/>
      <c r="E27" s="184" t="s">
        <v>217</v>
      </c>
      <c r="F27" s="185"/>
      <c r="G27" s="6"/>
      <c r="H27" s="6"/>
      <c r="I27" s="6"/>
      <c r="J27" s="6"/>
      <c r="K27" s="6"/>
      <c r="L27" s="6"/>
      <c r="M27" s="6" t="s">
        <v>38</v>
      </c>
      <c r="N27" s="6"/>
      <c r="O27" s="6"/>
      <c r="P27" s="6"/>
      <c r="Q27" s="6"/>
      <c r="R27" s="6"/>
      <c r="S27" s="30"/>
      <c r="T27" s="6"/>
      <c r="U27" s="6"/>
      <c r="V27" s="6"/>
      <c r="W27" s="6"/>
      <c r="X27" s="45" t="str">
        <f>IF(UseReverse,"Preamp Reverse Wave Factor","")</f>
        <v/>
      </c>
      <c r="Y27" s="37"/>
    </row>
    <row r="28" spans="1:25">
      <c r="A28" s="46">
        <v>2</v>
      </c>
      <c r="B28" s="41">
        <v>0.1</v>
      </c>
      <c r="C28" s="192">
        <v>2</v>
      </c>
      <c r="D28" s="193"/>
      <c r="E28" s="190" t="s">
        <v>218</v>
      </c>
      <c r="F28" s="191"/>
      <c r="G28" s="6"/>
      <c r="H28" s="6"/>
      <c r="I28" s="6"/>
      <c r="J28" s="6"/>
      <c r="K28" s="6" t="s">
        <v>241</v>
      </c>
      <c r="L28" s="6"/>
      <c r="M28" s="6"/>
      <c r="N28" s="6"/>
      <c r="O28" s="6"/>
      <c r="P28" s="6"/>
      <c r="Q28" s="6"/>
      <c r="R28" s="6"/>
      <c r="S28" s="30"/>
      <c r="T28" s="6"/>
      <c r="U28" s="6"/>
      <c r="V28" s="6"/>
      <c r="W28" s="6"/>
      <c r="X28" s="6"/>
      <c r="Y28" s="37"/>
    </row>
    <row r="29" spans="1:25">
      <c r="A29" s="190"/>
      <c r="B29" s="191"/>
      <c r="C29" s="30"/>
      <c r="D29" s="37"/>
      <c r="E29" s="30"/>
      <c r="F29" s="41">
        <v>2</v>
      </c>
      <c r="G29" s="6"/>
      <c r="H29" s="6"/>
      <c r="I29" s="6"/>
      <c r="J29" s="6"/>
      <c r="K29" s="6" t="s">
        <v>18</v>
      </c>
      <c r="L29" s="6"/>
      <c r="M29" s="6"/>
      <c r="N29" s="6"/>
      <c r="O29" s="6"/>
      <c r="P29" s="6"/>
      <c r="Q29" s="6"/>
      <c r="R29" s="6"/>
      <c r="S29" s="30"/>
      <c r="T29" s="6"/>
      <c r="U29" s="6"/>
      <c r="V29" s="6"/>
      <c r="W29" s="6"/>
      <c r="X29" s="6" t="s">
        <v>323</v>
      </c>
      <c r="Y29" s="37"/>
    </row>
    <row r="30" spans="1:25" ht="15" thickBot="1">
      <c r="A30" s="42" t="s">
        <v>236</v>
      </c>
      <c r="B30" s="32"/>
      <c r="C30" s="42" t="s">
        <v>236</v>
      </c>
      <c r="D30" s="32"/>
      <c r="E30" s="42" t="s">
        <v>236</v>
      </c>
      <c r="F30" s="32"/>
      <c r="G30" s="6"/>
      <c r="H30" s="6"/>
      <c r="I30" s="6"/>
      <c r="J30" s="6"/>
      <c r="K30" s="6" t="s">
        <v>19</v>
      </c>
      <c r="L30" s="6"/>
      <c r="M30" s="6"/>
      <c r="N30" s="6"/>
      <c r="O30" s="6"/>
      <c r="P30" s="6"/>
      <c r="Q30" s="6"/>
      <c r="R30" s="6"/>
      <c r="S30" s="30"/>
      <c r="T30" s="6"/>
      <c r="U30" s="6"/>
      <c r="V30" s="6"/>
      <c r="W30" s="6"/>
      <c r="X30" s="6" t="s">
        <v>326</v>
      </c>
      <c r="Y30" s="37"/>
    </row>
    <row r="31" spans="1:25">
      <c r="A31" s="182" t="s">
        <v>120</v>
      </c>
      <c r="B31" s="183"/>
      <c r="C31" s="183"/>
      <c r="D31" s="183"/>
      <c r="E31" s="188" t="s">
        <v>219</v>
      </c>
      <c r="F31" s="189"/>
      <c r="G31" s="6"/>
      <c r="H31" s="6"/>
      <c r="I31" s="6"/>
      <c r="J31" s="6"/>
      <c r="K31" s="6" t="s">
        <v>20</v>
      </c>
      <c r="L31" s="6"/>
      <c r="M31" s="6"/>
      <c r="N31" s="6"/>
      <c r="O31" s="6"/>
      <c r="P31" s="6"/>
      <c r="Q31" s="6"/>
      <c r="R31" s="6"/>
      <c r="S31" s="30"/>
      <c r="T31" s="6"/>
      <c r="U31" s="6"/>
      <c r="V31" s="6"/>
      <c r="W31" s="6"/>
      <c r="X31" s="6"/>
      <c r="Y31" s="37"/>
    </row>
    <row r="32" spans="1:25">
      <c r="A32" s="66" t="s">
        <v>236</v>
      </c>
      <c r="B32" s="64" t="s">
        <v>23</v>
      </c>
      <c r="C32" s="65" t="s">
        <v>8</v>
      </c>
      <c r="D32" s="71" t="s">
        <v>130</v>
      </c>
      <c r="E32" s="99" t="s">
        <v>40</v>
      </c>
      <c r="F32" s="154" t="s">
        <v>363</v>
      </c>
      <c r="G32" s="155"/>
      <c r="H32" s="155"/>
      <c r="I32" s="6"/>
      <c r="J32" s="6"/>
      <c r="K32" s="6" t="s">
        <v>239</v>
      </c>
      <c r="L32" s="6"/>
      <c r="M32" s="6"/>
      <c r="N32" s="6"/>
      <c r="O32" s="6"/>
      <c r="P32" s="6"/>
      <c r="Q32" s="6"/>
      <c r="R32" s="6"/>
      <c r="S32" s="30"/>
      <c r="T32" s="6"/>
      <c r="U32" s="6"/>
      <c r="V32" s="6"/>
      <c r="W32" s="6"/>
      <c r="X32" s="6"/>
      <c r="Y32" s="37"/>
    </row>
    <row r="33" spans="1:25" ht="13.9" customHeight="1">
      <c r="A33" s="67" t="s">
        <v>274</v>
      </c>
      <c r="B33" s="70">
        <v>6</v>
      </c>
      <c r="C33" s="70">
        <v>2</v>
      </c>
      <c r="D33" s="72">
        <v>2</v>
      </c>
      <c r="E33" s="99">
        <v>296</v>
      </c>
      <c r="F33" s="98">
        <v>298</v>
      </c>
      <c r="G33" s="6"/>
      <c r="H33" s="6"/>
      <c r="I33" s="6"/>
      <c r="J33" s="6"/>
      <c r="K33" s="6" t="s">
        <v>358</v>
      </c>
      <c r="L33" s="6"/>
      <c r="M33" s="6"/>
      <c r="N33" s="6"/>
      <c r="O33" s="6"/>
      <c r="P33" s="6"/>
      <c r="Q33" s="6"/>
      <c r="R33" s="6"/>
      <c r="S33" s="30"/>
      <c r="T33" s="6"/>
      <c r="U33" s="6"/>
      <c r="V33" s="6"/>
      <c r="W33" s="6"/>
      <c r="X33" s="6"/>
      <c r="Y33" s="37"/>
    </row>
    <row r="34" spans="1:25">
      <c r="A34" s="67" t="s">
        <v>275</v>
      </c>
      <c r="B34" s="70">
        <v>1</v>
      </c>
      <c r="C34" s="70">
        <v>1</v>
      </c>
      <c r="D34" s="72">
        <v>1</v>
      </c>
      <c r="E34" s="99" t="s">
        <v>0</v>
      </c>
      <c r="F34" s="98" t="s">
        <v>178</v>
      </c>
      <c r="G34" s="6"/>
      <c r="H34" s="6"/>
      <c r="I34" s="6"/>
      <c r="J34" s="6"/>
      <c r="K34" s="6" t="s">
        <v>240</v>
      </c>
      <c r="L34" s="6"/>
      <c r="M34" s="6"/>
      <c r="N34" s="6"/>
      <c r="O34" s="6"/>
      <c r="P34" s="6"/>
      <c r="Q34" s="6"/>
      <c r="R34" s="6"/>
      <c r="S34" s="30"/>
      <c r="T34" s="6"/>
      <c r="U34" s="6"/>
      <c r="V34" s="6"/>
      <c r="W34" s="6"/>
      <c r="X34" s="6"/>
      <c r="Y34" s="37"/>
    </row>
    <row r="35" spans="1:25" ht="15" thickBot="1">
      <c r="A35" s="68" t="s">
        <v>295</v>
      </c>
      <c r="B35" s="69">
        <f>VLOOKUP(B33,$A$54:$F$59,3+B34,FALSE)*VLOOKUP(B34,$A$48:$H$50,2+B33,FALSE)*SQRT(2)/2</f>
        <v>0.70710678118654757</v>
      </c>
      <c r="C35" s="69">
        <f>VLOOKUP(C33,$A$54:$F$59,3+C34,FALSE)*VLOOKUP(C34,$A$48:$H$50,2+C33,FALSE)*SQRT(2)/2</f>
        <v>0.40853898265363492</v>
      </c>
      <c r="D35" s="69">
        <f>VLOOKUP(D33,$A$54:$F$59,3+D34,FALSE)*VLOOKUP(D34,$A$48:$H$50,2+D33,FALSE)*SQRT(2)/2</f>
        <v>0.40853898265363492</v>
      </c>
      <c r="E35" s="73">
        <v>0</v>
      </c>
      <c r="F35" s="74">
        <v>0</v>
      </c>
      <c r="G35" s="122"/>
      <c r="H35" s="122"/>
      <c r="I35" s="122"/>
      <c r="J35" s="122"/>
      <c r="K35" s="122"/>
      <c r="L35" s="122"/>
      <c r="M35" s="122"/>
      <c r="N35" s="122"/>
      <c r="O35" s="122"/>
      <c r="P35" s="122"/>
      <c r="Q35" s="122"/>
      <c r="R35" s="122"/>
      <c r="S35" s="31"/>
      <c r="T35" s="122"/>
      <c r="U35" s="122"/>
      <c r="V35" s="122"/>
      <c r="W35" s="122"/>
      <c r="X35" s="122"/>
      <c r="Y35" s="32"/>
    </row>
    <row r="36" spans="1:25" hidden="1">
      <c r="A36" s="1" t="s">
        <v>357</v>
      </c>
      <c r="B36" s="45">
        <v>0</v>
      </c>
      <c r="G36" s="6"/>
      <c r="H36" s="2"/>
      <c r="I36" s="2"/>
      <c r="J36" s="2"/>
      <c r="K36" s="2"/>
      <c r="L36" s="2"/>
      <c r="M36" s="2"/>
      <c r="N36" s="2"/>
      <c r="O36" s="2"/>
      <c r="P36" s="6"/>
      <c r="Q36" s="6"/>
      <c r="R36" s="6"/>
      <c r="S36" s="2"/>
      <c r="T36" s="2"/>
      <c r="U36" s="2"/>
      <c r="V36" s="2"/>
      <c r="W36" s="2"/>
      <c r="X36" s="2"/>
      <c r="Y36" s="6"/>
    </row>
    <row r="37" spans="1:25">
      <c r="G37" s="45"/>
      <c r="P37" s="45"/>
      <c r="Q37" s="6"/>
      <c r="R37" s="6"/>
      <c r="S37" s="2"/>
      <c r="T37" s="2"/>
      <c r="Y37" s="45"/>
    </row>
    <row r="38" spans="1:25">
      <c r="A38" s="45"/>
      <c r="B38" s="45"/>
      <c r="C38" s="45"/>
      <c r="D38" s="45" t="s">
        <v>0</v>
      </c>
      <c r="E38" s="45"/>
      <c r="F38" s="45"/>
      <c r="G38" s="45"/>
      <c r="H38" s="45"/>
      <c r="P38" s="45"/>
      <c r="Q38" s="45"/>
      <c r="R38" s="45"/>
      <c r="Y38" s="45"/>
    </row>
    <row r="39" spans="1:25">
      <c r="A39" s="45"/>
      <c r="E39" s="45"/>
      <c r="H39" s="48">
        <v>1</v>
      </c>
      <c r="P39" s="45" t="s">
        <v>0</v>
      </c>
      <c r="Q39" s="45"/>
      <c r="R39" s="45"/>
      <c r="S39" s="45"/>
      <c r="T39" s="45"/>
      <c r="U39" s="45"/>
      <c r="V39" s="45"/>
      <c r="W39" s="45"/>
      <c r="X39" s="45"/>
      <c r="Y39" s="45"/>
    </row>
    <row r="40" spans="1:25">
      <c r="A40" s="45"/>
      <c r="B40" s="45"/>
      <c r="C40" s="45"/>
      <c r="D40" s="54"/>
      <c r="E40" s="45"/>
      <c r="P40" s="45" t="s">
        <v>0</v>
      </c>
      <c r="Q40" s="45"/>
      <c r="R40" s="45"/>
      <c r="S40" s="45"/>
      <c r="T40" s="45"/>
      <c r="U40" s="45"/>
      <c r="V40" s="45"/>
      <c r="W40" s="45"/>
      <c r="X40" s="45"/>
      <c r="Y40" s="45"/>
    </row>
    <row r="41" spans="1:25">
      <c r="A41" s="45"/>
      <c r="B41" s="45"/>
      <c r="C41" s="45"/>
      <c r="D41" s="45"/>
      <c r="E41" s="45"/>
      <c r="L41" s="1" t="s">
        <v>0</v>
      </c>
      <c r="U41" s="6"/>
      <c r="V41" s="6"/>
      <c r="W41" s="6"/>
      <c r="X41" s="45"/>
    </row>
    <row r="42" spans="1:25">
      <c r="A42" s="45"/>
      <c r="B42" s="10"/>
      <c r="C42" s="10"/>
      <c r="D42" s="10"/>
      <c r="E42" s="45"/>
      <c r="U42" s="48"/>
      <c r="V42" s="48"/>
      <c r="W42" s="45"/>
      <c r="X42" s="45"/>
    </row>
    <row r="43" spans="1:25">
      <c r="C43" s="45"/>
      <c r="D43" s="45"/>
      <c r="E43" s="45"/>
      <c r="U43" s="48">
        <f>BWsetting</f>
        <v>1</v>
      </c>
      <c r="V43" s="48" t="s">
        <v>121</v>
      </c>
      <c r="W43" s="45"/>
      <c r="X43" s="45"/>
    </row>
    <row r="44" spans="1:25">
      <c r="C44" s="45"/>
      <c r="D44" s="45"/>
      <c r="E44" s="45"/>
      <c r="U44" s="48">
        <f xml:space="preserve"> NseSrcGamConf</f>
        <v>0.70710678118654757</v>
      </c>
      <c r="V44" s="48" t="s">
        <v>122</v>
      </c>
      <c r="W44" s="45"/>
      <c r="X44" s="45"/>
    </row>
    <row r="45" spans="1:25" ht="15" thickBot="1">
      <c r="A45" s="45"/>
      <c r="B45" s="45"/>
      <c r="C45" s="45"/>
      <c r="D45" s="45"/>
      <c r="E45" s="45"/>
      <c r="U45" s="48">
        <f>PreampGamConf</f>
        <v>0.40853898265363492</v>
      </c>
      <c r="V45" s="48" t="s">
        <v>123</v>
      </c>
      <c r="W45" s="45"/>
      <c r="X45" s="45"/>
    </row>
    <row r="46" spans="1:25">
      <c r="A46" s="45"/>
      <c r="B46" s="107" t="s">
        <v>276</v>
      </c>
      <c r="C46" s="108"/>
      <c r="D46" s="108"/>
      <c r="E46" s="108"/>
      <c r="F46" s="108"/>
      <c r="G46" s="108"/>
      <c r="H46" s="109"/>
      <c r="U46" s="48">
        <f xml:space="preserve"> DUTgamConf</f>
        <v>0.40853898265363492</v>
      </c>
      <c r="V46" s="48" t="s">
        <v>124</v>
      </c>
      <c r="W46" s="45"/>
      <c r="X46" s="45"/>
    </row>
    <row r="47" spans="1:25">
      <c r="A47" s="106"/>
      <c r="B47" s="110"/>
      <c r="C47" s="105" t="str">
        <f>B54</f>
        <v>Maximum</v>
      </c>
      <c r="D47" s="105" t="str">
        <f>B55</f>
        <v>95th %ile</v>
      </c>
      <c r="E47" s="105" t="str">
        <f>B56</f>
        <v>80th %ile</v>
      </c>
      <c r="F47" s="105" t="str">
        <f>B57</f>
        <v>Median</v>
      </c>
      <c r="G47" s="105" t="str">
        <f>B58</f>
        <v>Mean</v>
      </c>
      <c r="H47" s="111" t="str">
        <f>B59</f>
        <v>Fixed</v>
      </c>
      <c r="U47" s="48">
        <f xml:space="preserve"> ENRU_DataType</f>
        <v>2</v>
      </c>
      <c r="V47" s="48" t="s">
        <v>125</v>
      </c>
      <c r="W47" s="45"/>
      <c r="X47" s="45"/>
    </row>
    <row r="48" spans="1:25">
      <c r="A48" s="106">
        <v>1</v>
      </c>
      <c r="B48" s="112" t="s">
        <v>277</v>
      </c>
      <c r="C48" s="101">
        <v>0.57776137002687711</v>
      </c>
      <c r="D48" s="102">
        <f>C48</f>
        <v>0.57776137002687711</v>
      </c>
      <c r="E48" s="102">
        <f t="shared" ref="E48:G48" si="0">D48</f>
        <v>0.57776137002687711</v>
      </c>
      <c r="F48" s="102">
        <f t="shared" si="0"/>
        <v>0.57776137002687711</v>
      </c>
      <c r="G48" s="102">
        <f t="shared" si="0"/>
        <v>0.57776137002687711</v>
      </c>
      <c r="H48" s="111">
        <v>1</v>
      </c>
      <c r="U48" s="48">
        <f>Preamp_DataType</f>
        <v>3</v>
      </c>
      <c r="V48" s="48" t="s">
        <v>126</v>
      </c>
      <c r="W48" s="45"/>
      <c r="X48" s="45"/>
    </row>
    <row r="49" spans="1:24">
      <c r="A49" s="106">
        <v>2</v>
      </c>
      <c r="B49" s="113" t="s">
        <v>278</v>
      </c>
      <c r="C49" s="101">
        <v>1</v>
      </c>
      <c r="D49" s="102">
        <f t="shared" ref="D49:G50" si="1">C49</f>
        <v>1</v>
      </c>
      <c r="E49" s="102">
        <f t="shared" si="1"/>
        <v>1</v>
      </c>
      <c r="F49" s="102">
        <f t="shared" si="1"/>
        <v>1</v>
      </c>
      <c r="G49" s="102">
        <f t="shared" si="1"/>
        <v>1</v>
      </c>
      <c r="H49" s="111">
        <v>1</v>
      </c>
      <c r="U49" s="48">
        <f>DUT_DataType</f>
        <v>1</v>
      </c>
      <c r="V49" s="48" t="s">
        <v>127</v>
      </c>
      <c r="W49" s="45"/>
      <c r="X49" s="45"/>
    </row>
    <row r="50" spans="1:24" ht="15" thickBot="1">
      <c r="A50" s="106">
        <v>3</v>
      </c>
      <c r="B50" s="114" t="s">
        <v>294</v>
      </c>
      <c r="C50" s="115">
        <v>0.70710678118654746</v>
      </c>
      <c r="D50" s="116">
        <f t="shared" si="1"/>
        <v>0.70710678118654746</v>
      </c>
      <c r="E50" s="116">
        <f t="shared" si="1"/>
        <v>0.70710678118654746</v>
      </c>
      <c r="F50" s="116">
        <f t="shared" si="1"/>
        <v>0.70710678118654746</v>
      </c>
      <c r="G50" s="116">
        <f t="shared" si="1"/>
        <v>0.70710678118654746</v>
      </c>
      <c r="H50" s="117">
        <v>1</v>
      </c>
      <c r="U50" s="48">
        <f>NseSrc_DataType</f>
        <v>1</v>
      </c>
      <c r="V50" s="48" t="s">
        <v>128</v>
      </c>
      <c r="W50" s="45"/>
      <c r="X50" s="45"/>
    </row>
    <row r="51" spans="1:24">
      <c r="A51" s="55"/>
      <c r="B51" s="103"/>
      <c r="C51" s="103"/>
      <c r="D51" s="103"/>
      <c r="E51" s="103"/>
      <c r="F51" s="104"/>
      <c r="U51" s="48">
        <f>ENRconf</f>
        <v>2</v>
      </c>
      <c r="V51" s="48" t="s">
        <v>129</v>
      </c>
      <c r="W51" s="45"/>
      <c r="X51" s="45"/>
    </row>
    <row r="52" spans="1:24">
      <c r="A52" s="55"/>
      <c r="B52" s="56"/>
      <c r="C52" s="56"/>
      <c r="D52" s="56"/>
      <c r="E52" s="56"/>
      <c r="F52" s="55"/>
      <c r="U52" s="48">
        <f>FieldFoxType</f>
        <v>3</v>
      </c>
      <c r="V52" s="48" t="s">
        <v>131</v>
      </c>
      <c r="W52" s="45"/>
      <c r="X52" s="45"/>
    </row>
    <row r="53" spans="1:24">
      <c r="A53" s="55"/>
      <c r="B53" s="57" t="s">
        <v>279</v>
      </c>
      <c r="C53" s="58" t="s">
        <v>280</v>
      </c>
      <c r="D53" s="58" t="s">
        <v>281</v>
      </c>
      <c r="E53" s="58" t="s">
        <v>278</v>
      </c>
      <c r="F53" s="59" t="s">
        <v>282</v>
      </c>
      <c r="U53" s="45"/>
      <c r="V53" s="45"/>
      <c r="W53" s="45"/>
      <c r="X53" s="45"/>
    </row>
    <row r="54" spans="1:24">
      <c r="A54" s="55">
        <v>1</v>
      </c>
      <c r="B54" s="60" t="s">
        <v>283</v>
      </c>
      <c r="C54" s="61" t="s">
        <v>284</v>
      </c>
      <c r="D54" s="62">
        <v>0.71199999999999997</v>
      </c>
      <c r="E54" s="55">
        <v>1</v>
      </c>
      <c r="F54" s="63">
        <v>1</v>
      </c>
      <c r="U54" s="45"/>
      <c r="V54" s="45"/>
      <c r="W54" s="45"/>
      <c r="X54" s="45"/>
    </row>
    <row r="55" spans="1:24">
      <c r="A55" s="55">
        <v>2</v>
      </c>
      <c r="B55" s="60" t="s">
        <v>285</v>
      </c>
      <c r="C55" s="61" t="s">
        <v>286</v>
      </c>
      <c r="D55" s="62">
        <v>1</v>
      </c>
      <c r="E55" s="55">
        <v>1</v>
      </c>
      <c r="F55" s="63">
        <v>1.0259783520851542</v>
      </c>
      <c r="U55" s="45"/>
      <c r="V55" s="45"/>
      <c r="W55" s="45"/>
      <c r="X55" s="45"/>
    </row>
    <row r="56" spans="1:24">
      <c r="A56" s="55">
        <v>3</v>
      </c>
      <c r="B56" s="60" t="s">
        <v>287</v>
      </c>
      <c r="C56" s="61" t="s">
        <v>288</v>
      </c>
      <c r="D56" s="62">
        <v>1.2689999999999999</v>
      </c>
      <c r="E56" s="55">
        <v>1</v>
      </c>
      <c r="F56" s="63">
        <v>1.1180339887498949</v>
      </c>
      <c r="U56" s="45"/>
      <c r="V56" s="45"/>
      <c r="W56" s="45"/>
      <c r="X56" s="45"/>
    </row>
    <row r="57" spans="1:24">
      <c r="A57" s="55">
        <v>4</v>
      </c>
      <c r="B57" s="60" t="s">
        <v>289</v>
      </c>
      <c r="C57" s="61" t="s">
        <v>290</v>
      </c>
      <c r="D57" s="62">
        <v>2.0790000000000002</v>
      </c>
      <c r="E57" s="55">
        <v>1</v>
      </c>
      <c r="F57" s="63">
        <v>1.4142135623730949</v>
      </c>
      <c r="S57" s="45"/>
      <c r="T57" s="45"/>
      <c r="U57" s="45"/>
      <c r="V57" s="45"/>
      <c r="W57" s="45"/>
      <c r="X57" s="45"/>
    </row>
    <row r="58" spans="1:24">
      <c r="A58" s="55">
        <v>5</v>
      </c>
      <c r="B58" s="60" t="s">
        <v>291</v>
      </c>
      <c r="C58" s="61" t="s">
        <v>292</v>
      </c>
      <c r="D58" s="62">
        <v>1.9530000000000001</v>
      </c>
      <c r="E58" s="55">
        <v>1</v>
      </c>
      <c r="F58" s="63">
        <v>1.5</v>
      </c>
      <c r="S58" s="45"/>
      <c r="T58" s="45"/>
      <c r="U58" s="45"/>
      <c r="V58" s="45"/>
      <c r="W58" s="45"/>
      <c r="X58" s="45"/>
    </row>
    <row r="59" spans="1:24">
      <c r="A59" s="55">
        <v>6</v>
      </c>
      <c r="B59" s="60" t="s">
        <v>278</v>
      </c>
      <c r="C59" s="61" t="s">
        <v>293</v>
      </c>
      <c r="D59" s="62">
        <v>1</v>
      </c>
      <c r="E59" s="55">
        <v>1</v>
      </c>
      <c r="F59" s="63">
        <v>1</v>
      </c>
      <c r="S59" s="45"/>
      <c r="T59" s="45"/>
      <c r="U59" s="45"/>
      <c r="V59" s="45"/>
      <c r="W59" s="45"/>
      <c r="X59" s="45"/>
    </row>
    <row r="60" spans="1:24">
      <c r="S60" s="45"/>
      <c r="T60" s="45"/>
      <c r="U60" s="45"/>
      <c r="V60" s="45"/>
      <c r="W60" s="45"/>
      <c r="X60" s="45"/>
    </row>
    <row r="61" spans="1:24">
      <c r="S61" s="45"/>
      <c r="T61" s="45"/>
      <c r="U61" s="45"/>
      <c r="V61" s="45"/>
      <c r="W61" s="45"/>
      <c r="X61" s="45"/>
    </row>
    <row r="62" spans="1:24">
      <c r="S62" s="45"/>
      <c r="T62" s="45"/>
      <c r="U62" s="45"/>
      <c r="V62" s="45"/>
      <c r="W62" s="45"/>
      <c r="X62" s="45"/>
    </row>
    <row r="63" spans="1:24">
      <c r="S63" s="45"/>
      <c r="T63" s="45"/>
      <c r="U63" s="45"/>
      <c r="V63" s="45"/>
      <c r="W63" s="45"/>
      <c r="X63" s="45"/>
    </row>
    <row r="64" spans="1:24">
      <c r="S64" s="45"/>
      <c r="T64" s="45"/>
      <c r="U64" s="45"/>
      <c r="V64" s="45"/>
      <c r="W64" s="45"/>
      <c r="X64" s="45"/>
    </row>
    <row r="65" spans="19:24">
      <c r="S65" s="45"/>
      <c r="T65" s="45"/>
      <c r="U65" s="45"/>
      <c r="V65" s="45"/>
      <c r="W65" s="45"/>
      <c r="X65" s="45"/>
    </row>
    <row r="66" spans="19:24">
      <c r="S66" s="45"/>
      <c r="T66" s="45"/>
      <c r="U66" s="45"/>
      <c r="V66" s="45"/>
      <c r="W66" s="45"/>
      <c r="X66" s="45"/>
    </row>
    <row r="67" spans="19:24">
      <c r="S67" s="45"/>
      <c r="T67" s="45"/>
      <c r="U67" s="45"/>
      <c r="V67" s="45"/>
      <c r="W67" s="45"/>
      <c r="X67" s="45"/>
    </row>
    <row r="68" spans="19:24">
      <c r="S68" s="45"/>
      <c r="T68" s="45"/>
      <c r="U68" s="45"/>
      <c r="V68" s="45"/>
      <c r="W68" s="45"/>
      <c r="X68" s="45"/>
    </row>
    <row r="69" spans="19:24">
      <c r="S69" s="45"/>
      <c r="T69" s="45"/>
      <c r="U69" s="45"/>
      <c r="V69" s="45"/>
      <c r="W69" s="45"/>
      <c r="X69" s="45"/>
    </row>
    <row r="70" spans="19:24">
      <c r="S70" s="45"/>
      <c r="T70" s="45"/>
      <c r="U70" s="45"/>
      <c r="V70" s="45"/>
      <c r="W70" s="45"/>
      <c r="X70" s="45"/>
    </row>
    <row r="71" spans="19:24">
      <c r="S71" s="45"/>
      <c r="T71" s="45"/>
      <c r="U71" s="45"/>
      <c r="V71" s="45"/>
      <c r="W71" s="45"/>
      <c r="X71" s="45"/>
    </row>
    <row r="72" spans="19:24">
      <c r="S72" s="45"/>
      <c r="T72" s="45"/>
      <c r="U72" s="45"/>
      <c r="V72" s="45"/>
      <c r="W72" s="45"/>
      <c r="X72" s="45"/>
    </row>
    <row r="73" spans="19:24">
      <c r="S73" s="45"/>
      <c r="T73" s="45"/>
      <c r="U73" s="45"/>
      <c r="V73" s="45"/>
      <c r="W73" s="45"/>
      <c r="X73" s="45"/>
    </row>
    <row r="74" spans="19:24">
      <c r="S74" s="45"/>
      <c r="T74" s="45"/>
      <c r="U74" s="45"/>
      <c r="V74" s="45"/>
      <c r="W74" s="45"/>
      <c r="X74" s="45"/>
    </row>
    <row r="75" spans="19:24">
      <c r="S75" s="45"/>
      <c r="T75" s="45"/>
      <c r="U75" s="45"/>
      <c r="V75" s="45"/>
      <c r="W75" s="45"/>
      <c r="X75" s="45"/>
    </row>
    <row r="76" spans="19:24">
      <c r="S76" s="45"/>
      <c r="T76" s="45"/>
      <c r="U76" s="45"/>
      <c r="V76" s="45"/>
      <c r="W76" s="45"/>
      <c r="X76" s="45"/>
    </row>
  </sheetData>
  <sheetProtection selectLockedCells="1"/>
  <mergeCells count="18">
    <mergeCell ref="A1:E1"/>
    <mergeCell ref="E27:F27"/>
    <mergeCell ref="E28:F28"/>
    <mergeCell ref="J1:P1"/>
    <mergeCell ref="J2:P2"/>
    <mergeCell ref="C3:D3"/>
    <mergeCell ref="F1:I1"/>
    <mergeCell ref="L7:Q7"/>
    <mergeCell ref="S3:Y3"/>
    <mergeCell ref="S7:Y7"/>
    <mergeCell ref="A31:D31"/>
    <mergeCell ref="A27:B27"/>
    <mergeCell ref="C27:D27"/>
    <mergeCell ref="E31:F31"/>
    <mergeCell ref="A29:B29"/>
    <mergeCell ref="C28:D28"/>
    <mergeCell ref="D21:E21"/>
    <mergeCell ref="B20:F20"/>
  </mergeCells>
  <conditionalFormatting sqref="P4:R4">
    <cfRule type="expression" dxfId="63" priority="74">
      <formula>$O$4&gt;1</formula>
    </cfRule>
  </conditionalFormatting>
  <conditionalFormatting sqref="P5:R6">
    <cfRule type="expression" dxfId="62" priority="73">
      <formula>$O$4&lt;2</formula>
    </cfRule>
  </conditionalFormatting>
  <conditionalFormatting sqref="J4:J6">
    <cfRule type="expression" dxfId="61" priority="71">
      <formula>DutType=1</formula>
    </cfRule>
  </conditionalFormatting>
  <conditionalFormatting sqref="M4:N4">
    <cfRule type="expression" dxfId="60" priority="70">
      <formula>$L$4&gt;1</formula>
    </cfRule>
  </conditionalFormatting>
  <conditionalFormatting sqref="M5:N6">
    <cfRule type="expression" dxfId="59" priority="69">
      <formula>$L$4&lt;2</formula>
    </cfRule>
  </conditionalFormatting>
  <conditionalFormatting sqref="B28">
    <cfRule type="expression" dxfId="58" priority="171">
      <formula>$A$28&gt;1</formula>
    </cfRule>
  </conditionalFormatting>
  <conditionalFormatting sqref="C15:D15 A16:F16 A17:F17 A18:F18">
    <cfRule type="expression" dxfId="57" priority="174">
      <formula>$A$15&gt;1</formula>
    </cfRule>
  </conditionalFormatting>
  <conditionalFormatting sqref="I4">
    <cfRule type="expression" dxfId="56" priority="67">
      <formula>DutType=1</formula>
    </cfRule>
  </conditionalFormatting>
  <conditionalFormatting sqref="C9:E9 B10:F10 B11:F11 B12:F12">
    <cfRule type="expression" dxfId="55" priority="27">
      <formula>$A$10&gt;1</formula>
    </cfRule>
  </conditionalFormatting>
  <conditionalFormatting sqref="B26 E26:F26">
    <cfRule type="expression" dxfId="54" priority="227">
      <formula>$A$15&gt;1</formula>
    </cfRule>
  </conditionalFormatting>
  <conditionalFormatting sqref="D17">
    <cfRule type="expression" dxfId="53" priority="23">
      <formula>$A$10&gt;1</formula>
    </cfRule>
  </conditionalFormatting>
  <conditionalFormatting sqref="C17">
    <cfRule type="expression" dxfId="52" priority="20">
      <formula>$A$10&gt;1</formula>
    </cfRule>
  </conditionalFormatting>
  <conditionalFormatting sqref="C17">
    <cfRule type="expression" dxfId="51" priority="21">
      <formula>$A$15&gt;1</formula>
    </cfRule>
  </conditionalFormatting>
  <conditionalFormatting sqref="F24">
    <cfRule type="expression" dxfId="50" priority="18">
      <formula>$A$10&gt;1</formula>
    </cfRule>
  </conditionalFormatting>
  <conditionalFormatting sqref="F24">
    <cfRule type="expression" dxfId="49" priority="19">
      <formula>$A$15&gt;1</formula>
    </cfRule>
  </conditionalFormatting>
  <conditionalFormatting sqref="E24">
    <cfRule type="expression" dxfId="48" priority="16">
      <formula>$A$10&gt;1</formula>
    </cfRule>
  </conditionalFormatting>
  <conditionalFormatting sqref="E24">
    <cfRule type="expression" dxfId="47" priority="17">
      <formula>$A$15&gt;1</formula>
    </cfRule>
  </conditionalFormatting>
  <conditionalFormatting sqref="B24">
    <cfRule type="expression" dxfId="46" priority="14">
      <formula>$A$10&gt;1</formula>
    </cfRule>
  </conditionalFormatting>
  <conditionalFormatting sqref="B24">
    <cfRule type="expression" dxfId="45" priority="15">
      <formula>$A$15&gt;1</formula>
    </cfRule>
  </conditionalFormatting>
  <conditionalFormatting sqref="C24">
    <cfRule type="expression" dxfId="44" priority="12">
      <formula>$A$10&gt;1</formula>
    </cfRule>
  </conditionalFormatting>
  <conditionalFormatting sqref="C24">
    <cfRule type="expression" dxfId="43" priority="13">
      <formula>$A$15&gt;1</formula>
    </cfRule>
  </conditionalFormatting>
  <conditionalFormatting sqref="D13">
    <cfRule type="expression" dxfId="42" priority="11">
      <formula>$A$15&gt;1</formula>
    </cfRule>
  </conditionalFormatting>
  <conditionalFormatting sqref="E13">
    <cfRule type="expression" dxfId="41" priority="10">
      <formula>$A$15&gt;1</formula>
    </cfRule>
  </conditionalFormatting>
  <conditionalFormatting sqref="C19">
    <cfRule type="expression" dxfId="40" priority="9">
      <formula>$A$15&gt;1</formula>
    </cfRule>
  </conditionalFormatting>
  <conditionalFormatting sqref="D19">
    <cfRule type="expression" dxfId="39" priority="8">
      <formula>$A$15&gt;1</formula>
    </cfRule>
  </conditionalFormatting>
  <conditionalFormatting sqref="F12 F18">
    <cfRule type="expression" dxfId="38" priority="7">
      <formula>$B$36=0</formula>
    </cfRule>
  </conditionalFormatting>
  <conditionalFormatting sqref="A23:A24 B22:C24 B25:C25">
    <cfRule type="expression" dxfId="37" priority="238">
      <formula>$C$21&gt;1</formula>
    </cfRule>
  </conditionalFormatting>
  <conditionalFormatting sqref="A25">
    <cfRule type="expression" dxfId="36" priority="241">
      <formula>$C$21&gt;1</formula>
    </cfRule>
  </conditionalFormatting>
  <conditionalFormatting sqref="E22:F23 E25:F25 D23:D25">
    <cfRule type="expression" dxfId="35" priority="242">
      <formula>$F$21&gt;1</formula>
    </cfRule>
  </conditionalFormatting>
  <conditionalFormatting sqref="E40">
    <cfRule type="expression" dxfId="34" priority="3">
      <formula>$D$26&gt;0</formula>
    </cfRule>
  </conditionalFormatting>
  <conditionalFormatting sqref="D21:F25">
    <cfRule type="expression" dxfId="33" priority="2">
      <formula>$D$26=0</formula>
    </cfRule>
  </conditionalFormatting>
  <conditionalFormatting sqref="B20:F20">
    <cfRule type="expression" dxfId="32" priority="1">
      <formula>"$D$4*1=0"</formula>
    </cfRule>
  </conditionalFormatting>
  <dataValidations count="13">
    <dataValidation type="decimal" allowBlank="1" showInputMessage="1" showErrorMessage="1" errorTitle="Compresion Bandwidth (GHz)" error="Must be between 0 and 50" promptTitle="Compression Bandwidth:" prompt="Enter the bandwidth (in GHz) over which the DUT has gain.  This allows the Uncertainty Calculator to predict potential compresion conditions." sqref="F6" xr:uid="{00000000-0002-0000-0000-000000000000}">
      <formula1>0</formula1>
      <formula2>50</formula2>
    </dataValidation>
    <dataValidation type="decimal" allowBlank="1" showErrorMessage="1" errorTitle="Reverse Ratio" error="Value must be between 0 and 1" promptTitle="Reverse Ratio (0  to 1)" prompt="Reverse Ratio expresses the relative influance of noise generated by an amplifier at its input port.  If not known, a value of 0.5 is recommended." sqref="F18" xr:uid="{00000000-0002-0000-0000-000001000000}">
      <formula1>0</formula1>
      <formula2>1</formula2>
    </dataValidation>
    <dataValidation type="decimal" allowBlank="1" showErrorMessage="1" errorTitle="Reverse Ratio" error="Value must be between 0 and 1" promptTitle="Reverse Ratio" prompt="Reverse Ratio expresses the relative influance of noise generated by  the amplifier at its input port.  If not known, a value of 0.5 is recommended." sqref="F12" xr:uid="{00000000-0002-0000-0000-000002000000}">
      <formula1>0</formula1>
      <formula2>1</formula2>
    </dataValidation>
    <dataValidation type="decimal" operator="greaterThanOrEqual" allowBlank="1" showInputMessage="1" showErrorMessage="1" errorTitle="Noise Figure" error="Must be &gt; 0" sqref="C12 B18" xr:uid="{00000000-0002-0000-0000-000003000000}">
      <formula1>0</formula1>
    </dataValidation>
    <dataValidation type="decimal" operator="greaterThanOrEqual" allowBlank="1" showInputMessage="1" showErrorMessage="1" errorTitle="ENR" error="Must be &gt; 0" sqref="A25" xr:uid="{00000000-0002-0000-0000-000004000000}">
      <formula1>0</formula1>
    </dataValidation>
    <dataValidation type="decimal" allowBlank="1" showInputMessage="1" showErrorMessage="1" errorTitle="Compression" error="Please enter value between -50 and 100" promptTitle="P1dB Compresion Level" prompt="Output power of amplifier at 1 dB compression" sqref="E18" xr:uid="{00000000-0002-0000-0000-000005000000}">
      <formula1>-50</formula1>
      <formula2>100</formula2>
    </dataValidation>
    <dataValidation type="decimal" allowBlank="1" showErrorMessage="1" errorTitle="Gain" error="Enter value between -100 and 100" sqref="B12 A18" xr:uid="{00000000-0002-0000-0000-000006000000}">
      <formula1>-100</formula1>
      <formula2>100</formula2>
    </dataValidation>
    <dataValidation type="decimal" allowBlank="1" showInputMessage="1" showErrorMessage="1" errorTitle="Report Confidence" error="Enter a value between .1 and 10" sqref="F29" xr:uid="{00000000-0002-0000-0000-000007000000}">
      <formula1>0.1</formula1>
      <formula2>10</formula2>
    </dataValidation>
    <dataValidation type="decimal" operator="greaterThan" allowBlank="1" showInputMessage="1" showErrorMessage="1" sqref="E33:F33" xr:uid="{00000000-0002-0000-0000-000008000000}">
      <formula1>0</formula1>
    </dataValidation>
    <dataValidation type="decimal" operator="greaterThan" allowBlank="1" showInputMessage="1" showErrorMessage="1" error="Enter a positive value" sqref="Q4:R6 N4:N6" xr:uid="{00000000-0002-0000-0000-000009000000}">
      <formula1>0</formula1>
    </dataValidation>
    <dataValidation type="decimal" allowBlank="1" showInputMessage="1" showErrorMessage="1" errorTitle="Start Frequency" error="Must be greater than .01" sqref="I5:I6" xr:uid="{00000000-0002-0000-0000-00000A000000}">
      <formula1>0.01</formula1>
      <formula2>50</formula2>
    </dataValidation>
    <dataValidation type="decimal" operator="greaterThan" allowBlank="1" showInputMessage="1" showErrorMessage="1" errorTitle="Frequency" error="Must be greater than .01" sqref="J5:J6" xr:uid="{00000000-0002-0000-0000-00000B000000}">
      <formula1>0.01</formula1>
    </dataValidation>
    <dataValidation type="decimal" operator="greaterThanOrEqual" allowBlank="1" showInputMessage="1" showErrorMessage="1" sqref="E35:F35" xr:uid="{00000000-0002-0000-0000-00000C000000}">
      <formula1>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Group Box 9">
              <controlPr defaultSize="0" autoFill="0" autoPict="0">
                <anchor moveWithCells="1">
                  <from>
                    <xdr:col>0</xdr:col>
                    <xdr:colOff>0</xdr:colOff>
                    <xdr:row>7</xdr:row>
                    <xdr:rowOff>0</xdr:rowOff>
                  </from>
                  <to>
                    <xdr:col>5</xdr:col>
                    <xdr:colOff>812800</xdr:colOff>
                    <xdr:row>11</xdr:row>
                    <xdr:rowOff>171450</xdr:rowOff>
                  </to>
                </anchor>
              </controlPr>
            </control>
          </mc:Choice>
        </mc:AlternateContent>
        <mc:AlternateContent xmlns:mc="http://schemas.openxmlformats.org/markup-compatibility/2006">
          <mc:Choice Requires="x14">
            <control shapeId="1034" r:id="rId5" name="Group Box 10">
              <controlPr defaultSize="0" autoFill="0" autoPict="0">
                <anchor moveWithCells="1">
                  <from>
                    <xdr:col>0</xdr:col>
                    <xdr:colOff>0</xdr:colOff>
                    <xdr:row>12</xdr:row>
                    <xdr:rowOff>171450</xdr:rowOff>
                  </from>
                  <to>
                    <xdr:col>5</xdr:col>
                    <xdr:colOff>812800</xdr:colOff>
                    <xdr:row>19</xdr:row>
                    <xdr:rowOff>19050</xdr:rowOff>
                  </to>
                </anchor>
              </controlPr>
            </control>
          </mc:Choice>
        </mc:AlternateContent>
        <mc:AlternateContent xmlns:mc="http://schemas.openxmlformats.org/markup-compatibility/2006">
          <mc:Choice Requires="x14">
            <control shapeId="1042" r:id="rId6" name="Option Button 18">
              <controlPr defaultSize="0" autoFill="0" autoLine="0" autoPict="0">
                <anchor moveWithCells="1">
                  <from>
                    <xdr:col>0</xdr:col>
                    <xdr:colOff>57150</xdr:colOff>
                    <xdr:row>9</xdr:row>
                    <xdr:rowOff>165100</xdr:rowOff>
                  </from>
                  <to>
                    <xdr:col>0</xdr:col>
                    <xdr:colOff>812800</xdr:colOff>
                    <xdr:row>11</xdr:row>
                    <xdr:rowOff>19050</xdr:rowOff>
                  </to>
                </anchor>
              </controlPr>
            </control>
          </mc:Choice>
        </mc:AlternateContent>
        <mc:AlternateContent xmlns:mc="http://schemas.openxmlformats.org/markup-compatibility/2006">
          <mc:Choice Requires="x14">
            <control shapeId="1043" r:id="rId7" name="Option Button 19">
              <controlPr defaultSize="0" autoFill="0" autoLine="0" autoPict="0">
                <anchor moveWithCells="1">
                  <from>
                    <xdr:col>0</xdr:col>
                    <xdr:colOff>57150</xdr:colOff>
                    <xdr:row>8</xdr:row>
                    <xdr:rowOff>209550</xdr:rowOff>
                  </from>
                  <to>
                    <xdr:col>0</xdr:col>
                    <xdr:colOff>914400</xdr:colOff>
                    <xdr:row>10</xdr:row>
                    <xdr:rowOff>38100</xdr:rowOff>
                  </to>
                </anchor>
              </controlPr>
            </control>
          </mc:Choice>
        </mc:AlternateContent>
        <mc:AlternateContent xmlns:mc="http://schemas.openxmlformats.org/markup-compatibility/2006">
          <mc:Choice Requires="x14">
            <control shapeId="1056" r:id="rId8" name="Group Box 32">
              <controlPr defaultSize="0" autoFill="0" autoPict="0">
                <anchor moveWithCells="1">
                  <from>
                    <xdr:col>0</xdr:col>
                    <xdr:colOff>19050</xdr:colOff>
                    <xdr:row>26</xdr:row>
                    <xdr:rowOff>0</xdr:rowOff>
                  </from>
                  <to>
                    <xdr:col>2</xdr:col>
                    <xdr:colOff>0</xdr:colOff>
                    <xdr:row>29</xdr:row>
                    <xdr:rowOff>171450</xdr:rowOff>
                  </to>
                </anchor>
              </controlPr>
            </control>
          </mc:Choice>
        </mc:AlternateContent>
        <mc:AlternateContent xmlns:mc="http://schemas.openxmlformats.org/markup-compatibility/2006">
          <mc:Choice Requires="x14">
            <control shapeId="1057" r:id="rId9" name="Option Button 33">
              <controlPr defaultSize="0" autoFill="0" autoLine="0" autoPict="0">
                <anchor moveWithCells="1">
                  <from>
                    <xdr:col>0</xdr:col>
                    <xdr:colOff>57150</xdr:colOff>
                    <xdr:row>26</xdr:row>
                    <xdr:rowOff>165100</xdr:rowOff>
                  </from>
                  <to>
                    <xdr:col>0</xdr:col>
                    <xdr:colOff>666750</xdr:colOff>
                    <xdr:row>28</xdr:row>
                    <xdr:rowOff>19050</xdr:rowOff>
                  </to>
                </anchor>
              </controlPr>
            </control>
          </mc:Choice>
        </mc:AlternateContent>
        <mc:AlternateContent xmlns:mc="http://schemas.openxmlformats.org/markup-compatibility/2006">
          <mc:Choice Requires="x14">
            <control shapeId="1058" r:id="rId10" name="Option Button 34">
              <controlPr defaultSize="0" autoFill="0" autoLine="0" autoPict="0">
                <anchor moveWithCells="1">
                  <from>
                    <xdr:col>0</xdr:col>
                    <xdr:colOff>50800</xdr:colOff>
                    <xdr:row>28</xdr:row>
                    <xdr:rowOff>0</xdr:rowOff>
                  </from>
                  <to>
                    <xdr:col>1</xdr:col>
                    <xdr:colOff>285750</xdr:colOff>
                    <xdr:row>29</xdr:row>
                    <xdr:rowOff>19050</xdr:rowOff>
                  </to>
                </anchor>
              </controlPr>
            </control>
          </mc:Choice>
        </mc:AlternateContent>
        <mc:AlternateContent xmlns:mc="http://schemas.openxmlformats.org/markup-compatibility/2006">
          <mc:Choice Requires="x14">
            <control shapeId="1059" r:id="rId11" name="Group Box 35">
              <controlPr defaultSize="0" autoFill="0" autoPict="0">
                <anchor moveWithCells="1">
                  <from>
                    <xdr:col>0</xdr:col>
                    <xdr:colOff>12700</xdr:colOff>
                    <xdr:row>2</xdr:row>
                    <xdr:rowOff>12700</xdr:rowOff>
                  </from>
                  <to>
                    <xdr:col>2</xdr:col>
                    <xdr:colOff>0</xdr:colOff>
                    <xdr:row>6</xdr:row>
                    <xdr:rowOff>19050</xdr:rowOff>
                  </to>
                </anchor>
              </controlPr>
            </control>
          </mc:Choice>
        </mc:AlternateContent>
        <mc:AlternateContent xmlns:mc="http://schemas.openxmlformats.org/markup-compatibility/2006">
          <mc:Choice Requires="x14">
            <control shapeId="1060" r:id="rId12" name="Option Button 36">
              <controlPr defaultSize="0" autoFill="0" autoLine="0" autoPict="0">
                <anchor moveWithCells="1">
                  <from>
                    <xdr:col>0</xdr:col>
                    <xdr:colOff>57150</xdr:colOff>
                    <xdr:row>3</xdr:row>
                    <xdr:rowOff>19050</xdr:rowOff>
                  </from>
                  <to>
                    <xdr:col>0</xdr:col>
                    <xdr:colOff>889000</xdr:colOff>
                    <xdr:row>4</xdr:row>
                    <xdr:rowOff>0</xdr:rowOff>
                  </to>
                </anchor>
              </controlPr>
            </control>
          </mc:Choice>
        </mc:AlternateContent>
        <mc:AlternateContent xmlns:mc="http://schemas.openxmlformats.org/markup-compatibility/2006">
          <mc:Choice Requires="x14">
            <control shapeId="1068" r:id="rId13" name="Group Box 44">
              <controlPr defaultSize="0" autoFill="0" autoPict="0">
                <anchor moveWithCells="1">
                  <from>
                    <xdr:col>14</xdr:col>
                    <xdr:colOff>12700</xdr:colOff>
                    <xdr:row>2</xdr:row>
                    <xdr:rowOff>0</xdr:rowOff>
                  </from>
                  <to>
                    <xdr:col>18</xdr:col>
                    <xdr:colOff>19050</xdr:colOff>
                    <xdr:row>6</xdr:row>
                    <xdr:rowOff>19050</xdr:rowOff>
                  </to>
                </anchor>
              </controlPr>
            </control>
          </mc:Choice>
        </mc:AlternateContent>
        <mc:AlternateContent xmlns:mc="http://schemas.openxmlformats.org/markup-compatibility/2006">
          <mc:Choice Requires="x14">
            <control shapeId="1069" r:id="rId14" name="Option Button 45">
              <controlPr defaultSize="0" autoFill="0" autoLine="0" autoPict="0">
                <anchor moveWithCells="1">
                  <from>
                    <xdr:col>14</xdr:col>
                    <xdr:colOff>88900</xdr:colOff>
                    <xdr:row>2</xdr:row>
                    <xdr:rowOff>152400</xdr:rowOff>
                  </from>
                  <to>
                    <xdr:col>15</xdr:col>
                    <xdr:colOff>31750</xdr:colOff>
                    <xdr:row>4</xdr:row>
                    <xdr:rowOff>19050</xdr:rowOff>
                  </to>
                </anchor>
              </controlPr>
            </control>
          </mc:Choice>
        </mc:AlternateContent>
        <mc:AlternateContent xmlns:mc="http://schemas.openxmlformats.org/markup-compatibility/2006">
          <mc:Choice Requires="x14">
            <control shapeId="1070" r:id="rId15" name="Option Button 46">
              <controlPr defaultSize="0" autoFill="0" autoLine="0" autoPict="0">
                <anchor moveWithCells="1">
                  <from>
                    <xdr:col>14</xdr:col>
                    <xdr:colOff>88900</xdr:colOff>
                    <xdr:row>3</xdr:row>
                    <xdr:rowOff>165100</xdr:rowOff>
                  </from>
                  <to>
                    <xdr:col>15</xdr:col>
                    <xdr:colOff>31750</xdr:colOff>
                    <xdr:row>5</xdr:row>
                    <xdr:rowOff>31750</xdr:rowOff>
                  </to>
                </anchor>
              </controlPr>
            </control>
          </mc:Choice>
        </mc:AlternateContent>
        <mc:AlternateContent xmlns:mc="http://schemas.openxmlformats.org/markup-compatibility/2006">
          <mc:Choice Requires="x14">
            <control shapeId="1072" r:id="rId16" name="Check Box 48">
              <controlPr locked="0" defaultSize="0" autoFill="0" autoLine="0" autoPict="0">
                <anchor moveWithCells="1">
                  <from>
                    <xdr:col>3</xdr:col>
                    <xdr:colOff>19050</xdr:colOff>
                    <xdr:row>13</xdr:row>
                    <xdr:rowOff>31750</xdr:rowOff>
                  </from>
                  <to>
                    <xdr:col>3</xdr:col>
                    <xdr:colOff>781050</xdr:colOff>
                    <xdr:row>13</xdr:row>
                    <xdr:rowOff>171450</xdr:rowOff>
                  </to>
                </anchor>
              </controlPr>
            </control>
          </mc:Choice>
        </mc:AlternateContent>
        <mc:AlternateContent xmlns:mc="http://schemas.openxmlformats.org/markup-compatibility/2006">
          <mc:Choice Requires="x14">
            <control shapeId="1081" r:id="rId17" name="Group Box 57">
              <controlPr defaultSize="0" autoFill="0" autoPict="0">
                <anchor moveWithCells="1">
                  <from>
                    <xdr:col>2</xdr:col>
                    <xdr:colOff>0</xdr:colOff>
                    <xdr:row>26</xdr:row>
                    <xdr:rowOff>12700</xdr:rowOff>
                  </from>
                  <to>
                    <xdr:col>3</xdr:col>
                    <xdr:colOff>781050</xdr:colOff>
                    <xdr:row>29</xdr:row>
                    <xdr:rowOff>171450</xdr:rowOff>
                  </to>
                </anchor>
              </controlPr>
            </control>
          </mc:Choice>
        </mc:AlternateContent>
        <mc:AlternateContent xmlns:mc="http://schemas.openxmlformats.org/markup-compatibility/2006">
          <mc:Choice Requires="x14">
            <control shapeId="1082" r:id="rId18" name="Option Button 58">
              <controlPr defaultSize="0" autoFill="0" autoLine="0" autoPict="0">
                <anchor moveWithCells="1">
                  <from>
                    <xdr:col>2</xdr:col>
                    <xdr:colOff>69850</xdr:colOff>
                    <xdr:row>27</xdr:row>
                    <xdr:rowOff>19050</xdr:rowOff>
                  </from>
                  <to>
                    <xdr:col>2</xdr:col>
                    <xdr:colOff>495300</xdr:colOff>
                    <xdr:row>27</xdr:row>
                    <xdr:rowOff>171450</xdr:rowOff>
                  </to>
                </anchor>
              </controlPr>
            </control>
          </mc:Choice>
        </mc:AlternateContent>
        <mc:AlternateContent xmlns:mc="http://schemas.openxmlformats.org/markup-compatibility/2006">
          <mc:Choice Requires="x14">
            <control shapeId="1083" r:id="rId19" name="Option Button 59">
              <controlPr defaultSize="0" autoFill="0" autoLine="0" autoPict="0">
                <anchor moveWithCells="1">
                  <from>
                    <xdr:col>2</xdr:col>
                    <xdr:colOff>508000</xdr:colOff>
                    <xdr:row>27</xdr:row>
                    <xdr:rowOff>19050</xdr:rowOff>
                  </from>
                  <to>
                    <xdr:col>3</xdr:col>
                    <xdr:colOff>146050</xdr:colOff>
                    <xdr:row>27</xdr:row>
                    <xdr:rowOff>171450</xdr:rowOff>
                  </to>
                </anchor>
              </controlPr>
            </control>
          </mc:Choice>
        </mc:AlternateContent>
        <mc:AlternateContent xmlns:mc="http://schemas.openxmlformats.org/markup-compatibility/2006">
          <mc:Choice Requires="x14">
            <control shapeId="1097" r:id="rId20" name="Check Box 73">
              <controlPr locked="0" defaultSize="0" autoFill="0" autoLine="0" autoPict="0">
                <anchor moveWithCells="1">
                  <from>
                    <xdr:col>2</xdr:col>
                    <xdr:colOff>0</xdr:colOff>
                    <xdr:row>12</xdr:row>
                    <xdr:rowOff>184150</xdr:rowOff>
                  </from>
                  <to>
                    <xdr:col>3</xdr:col>
                    <xdr:colOff>0</xdr:colOff>
                    <xdr:row>14</xdr:row>
                    <xdr:rowOff>0</xdr:rowOff>
                  </to>
                </anchor>
              </controlPr>
            </control>
          </mc:Choice>
        </mc:AlternateContent>
        <mc:AlternateContent xmlns:mc="http://schemas.openxmlformats.org/markup-compatibility/2006">
          <mc:Choice Requires="x14">
            <control shapeId="1116" r:id="rId21" name="Option Button 92">
              <controlPr defaultSize="0" autoFill="0" autoLine="0" autoPict="0">
                <anchor moveWithCells="1">
                  <from>
                    <xdr:col>3</xdr:col>
                    <xdr:colOff>203200</xdr:colOff>
                    <xdr:row>27</xdr:row>
                    <xdr:rowOff>19050</xdr:rowOff>
                  </from>
                  <to>
                    <xdr:col>3</xdr:col>
                    <xdr:colOff>628650</xdr:colOff>
                    <xdr:row>28</xdr:row>
                    <xdr:rowOff>0</xdr:rowOff>
                  </to>
                </anchor>
              </controlPr>
            </control>
          </mc:Choice>
        </mc:AlternateContent>
        <mc:AlternateContent xmlns:mc="http://schemas.openxmlformats.org/markup-compatibility/2006">
          <mc:Choice Requires="x14">
            <control shapeId="1124" r:id="rId22" name="Option Button 100">
              <controlPr defaultSize="0" autoFill="0" autoLine="0" autoPict="0">
                <anchor moveWithCells="1">
                  <from>
                    <xdr:col>0</xdr:col>
                    <xdr:colOff>57150</xdr:colOff>
                    <xdr:row>4</xdr:row>
                    <xdr:rowOff>0</xdr:rowOff>
                  </from>
                  <to>
                    <xdr:col>0</xdr:col>
                    <xdr:colOff>895350</xdr:colOff>
                    <xdr:row>5</xdr:row>
                    <xdr:rowOff>19050</xdr:rowOff>
                  </to>
                </anchor>
              </controlPr>
            </control>
          </mc:Choice>
        </mc:AlternateContent>
        <mc:AlternateContent xmlns:mc="http://schemas.openxmlformats.org/markup-compatibility/2006">
          <mc:Choice Requires="x14">
            <control shapeId="1125" r:id="rId23" name="Group Box 101">
              <controlPr defaultSize="0" autoFill="0" autoPict="0">
                <anchor moveWithCells="1">
                  <from>
                    <xdr:col>18</xdr:col>
                    <xdr:colOff>19050</xdr:colOff>
                    <xdr:row>2</xdr:row>
                    <xdr:rowOff>12700</xdr:rowOff>
                  </from>
                  <to>
                    <xdr:col>25</xdr:col>
                    <xdr:colOff>0</xdr:colOff>
                    <xdr:row>5</xdr:row>
                    <xdr:rowOff>57150</xdr:rowOff>
                  </to>
                </anchor>
              </controlPr>
            </control>
          </mc:Choice>
        </mc:AlternateContent>
        <mc:AlternateContent xmlns:mc="http://schemas.openxmlformats.org/markup-compatibility/2006">
          <mc:Choice Requires="x14">
            <control shapeId="1160" r:id="rId24" name="Group Box 136">
              <controlPr defaultSize="0" autoFill="0" autoPict="0">
                <anchor moveWithCells="1">
                  <from>
                    <xdr:col>11</xdr:col>
                    <xdr:colOff>19050</xdr:colOff>
                    <xdr:row>2</xdr:row>
                    <xdr:rowOff>0</xdr:rowOff>
                  </from>
                  <to>
                    <xdr:col>14</xdr:col>
                    <xdr:colOff>12700</xdr:colOff>
                    <xdr:row>6</xdr:row>
                    <xdr:rowOff>19050</xdr:rowOff>
                  </to>
                </anchor>
              </controlPr>
            </control>
          </mc:Choice>
        </mc:AlternateContent>
        <mc:AlternateContent xmlns:mc="http://schemas.openxmlformats.org/markup-compatibility/2006">
          <mc:Choice Requires="x14">
            <control shapeId="1161" r:id="rId25" name="Option Button 137">
              <controlPr defaultSize="0" autoFill="0" autoLine="0" autoPict="0">
                <anchor moveWithCells="1">
                  <from>
                    <xdr:col>11</xdr:col>
                    <xdr:colOff>57150</xdr:colOff>
                    <xdr:row>2</xdr:row>
                    <xdr:rowOff>171450</xdr:rowOff>
                  </from>
                  <to>
                    <xdr:col>12</xdr:col>
                    <xdr:colOff>50800</xdr:colOff>
                    <xdr:row>4</xdr:row>
                    <xdr:rowOff>19050</xdr:rowOff>
                  </to>
                </anchor>
              </controlPr>
            </control>
          </mc:Choice>
        </mc:AlternateContent>
        <mc:AlternateContent xmlns:mc="http://schemas.openxmlformats.org/markup-compatibility/2006">
          <mc:Choice Requires="x14">
            <control shapeId="1162" r:id="rId26" name="Option Button 138">
              <controlPr defaultSize="0" autoFill="0" autoLine="0" autoPict="0">
                <anchor moveWithCells="1">
                  <from>
                    <xdr:col>11</xdr:col>
                    <xdr:colOff>57150</xdr:colOff>
                    <xdr:row>3</xdr:row>
                    <xdr:rowOff>171450</xdr:rowOff>
                  </from>
                  <to>
                    <xdr:col>12</xdr:col>
                    <xdr:colOff>50800</xdr:colOff>
                    <xdr:row>5</xdr:row>
                    <xdr:rowOff>19050</xdr:rowOff>
                  </to>
                </anchor>
              </controlPr>
            </control>
          </mc:Choice>
        </mc:AlternateContent>
        <mc:AlternateContent xmlns:mc="http://schemas.openxmlformats.org/markup-compatibility/2006">
          <mc:Choice Requires="x14">
            <control shapeId="1194" r:id="rId27" name="Drop Down 170">
              <controlPr defaultSize="0" autoLine="0" autoPict="0">
                <anchor moveWithCells="1">
                  <from>
                    <xdr:col>18</xdr:col>
                    <xdr:colOff>571500</xdr:colOff>
                    <xdr:row>3</xdr:row>
                    <xdr:rowOff>107950</xdr:rowOff>
                  </from>
                  <to>
                    <xdr:col>24</xdr:col>
                    <xdr:colOff>127000</xdr:colOff>
                    <xdr:row>4</xdr:row>
                    <xdr:rowOff>114300</xdr:rowOff>
                  </to>
                </anchor>
              </controlPr>
            </control>
          </mc:Choice>
        </mc:AlternateContent>
        <mc:AlternateContent xmlns:mc="http://schemas.openxmlformats.org/markup-compatibility/2006">
          <mc:Choice Requires="x14">
            <control shapeId="1195" r:id="rId28" name="Drop Down 171">
              <controlPr defaultSize="0" autoLine="0" autoPict="0">
                <anchor moveWithCells="1">
                  <from>
                    <xdr:col>0</xdr:col>
                    <xdr:colOff>31750</xdr:colOff>
                    <xdr:row>14</xdr:row>
                    <xdr:rowOff>12700</xdr:rowOff>
                  </from>
                  <to>
                    <xdr:col>0</xdr:col>
                    <xdr:colOff>946150</xdr:colOff>
                    <xdr:row>15</xdr:row>
                    <xdr:rowOff>12700</xdr:rowOff>
                  </to>
                </anchor>
              </controlPr>
            </control>
          </mc:Choice>
        </mc:AlternateContent>
        <mc:AlternateContent xmlns:mc="http://schemas.openxmlformats.org/markup-compatibility/2006">
          <mc:Choice Requires="x14">
            <control shapeId="1198" r:id="rId29" name="Drop Down 174">
              <controlPr defaultSize="0" autoLine="0" autoPict="0">
                <anchor moveWithCells="1">
                  <from>
                    <xdr:col>2</xdr:col>
                    <xdr:colOff>31750</xdr:colOff>
                    <xdr:row>3</xdr:row>
                    <xdr:rowOff>19050</xdr:rowOff>
                  </from>
                  <to>
                    <xdr:col>3</xdr:col>
                    <xdr:colOff>546100</xdr:colOff>
                    <xdr:row>3</xdr:row>
                    <xdr:rowOff>171450</xdr:rowOff>
                  </to>
                </anchor>
              </controlPr>
            </control>
          </mc:Choice>
        </mc:AlternateContent>
        <mc:AlternateContent xmlns:mc="http://schemas.openxmlformats.org/markup-compatibility/2006">
          <mc:Choice Requires="x14">
            <control shapeId="1199" r:id="rId30" name="Drop Down 175">
              <controlPr defaultSize="0" autoLine="0" autoPict="0">
                <anchor moveWithCells="1">
                  <from>
                    <xdr:col>4</xdr:col>
                    <xdr:colOff>76200</xdr:colOff>
                    <xdr:row>5</xdr:row>
                    <xdr:rowOff>19050</xdr:rowOff>
                  </from>
                  <to>
                    <xdr:col>4</xdr:col>
                    <xdr:colOff>781050</xdr:colOff>
                    <xdr:row>5</xdr:row>
                    <xdr:rowOff>152400</xdr:rowOff>
                  </to>
                </anchor>
              </controlPr>
            </control>
          </mc:Choice>
        </mc:AlternateContent>
        <mc:AlternateContent xmlns:mc="http://schemas.openxmlformats.org/markup-compatibility/2006">
          <mc:Choice Requires="x14">
            <control shapeId="1201" r:id="rId31" name="Drop Down 177">
              <controlPr defaultSize="0" autoLine="0" autoPict="0">
                <anchor moveWithCells="1">
                  <from>
                    <xdr:col>15</xdr:col>
                    <xdr:colOff>57150</xdr:colOff>
                    <xdr:row>24</xdr:row>
                    <xdr:rowOff>95250</xdr:rowOff>
                  </from>
                  <to>
                    <xdr:col>16</xdr:col>
                    <xdr:colOff>590550</xdr:colOff>
                    <xdr:row>25</xdr:row>
                    <xdr:rowOff>165100</xdr:rowOff>
                  </to>
                </anchor>
              </controlPr>
            </control>
          </mc:Choice>
        </mc:AlternateContent>
        <mc:AlternateContent xmlns:mc="http://schemas.openxmlformats.org/markup-compatibility/2006">
          <mc:Choice Requires="x14">
            <control shapeId="1210" r:id="rId32" name="Drop Down 186">
              <controlPr defaultSize="0" autoLine="0" autoPict="0">
                <anchor moveWithCells="1">
                  <from>
                    <xdr:col>1</xdr:col>
                    <xdr:colOff>19050</xdr:colOff>
                    <xdr:row>32</xdr:row>
                    <xdr:rowOff>19050</xdr:rowOff>
                  </from>
                  <to>
                    <xdr:col>1</xdr:col>
                    <xdr:colOff>819150</xdr:colOff>
                    <xdr:row>32</xdr:row>
                    <xdr:rowOff>152400</xdr:rowOff>
                  </to>
                </anchor>
              </controlPr>
            </control>
          </mc:Choice>
        </mc:AlternateContent>
        <mc:AlternateContent xmlns:mc="http://schemas.openxmlformats.org/markup-compatibility/2006">
          <mc:Choice Requires="x14">
            <control shapeId="1211" r:id="rId33" name="Drop Down 187">
              <controlPr defaultSize="0" autoLine="0" autoPict="0">
                <anchor moveWithCells="1">
                  <from>
                    <xdr:col>1</xdr:col>
                    <xdr:colOff>19050</xdr:colOff>
                    <xdr:row>33</xdr:row>
                    <xdr:rowOff>19050</xdr:rowOff>
                  </from>
                  <to>
                    <xdr:col>1</xdr:col>
                    <xdr:colOff>793750</xdr:colOff>
                    <xdr:row>33</xdr:row>
                    <xdr:rowOff>165100</xdr:rowOff>
                  </to>
                </anchor>
              </controlPr>
            </control>
          </mc:Choice>
        </mc:AlternateContent>
        <mc:AlternateContent xmlns:mc="http://schemas.openxmlformats.org/markup-compatibility/2006">
          <mc:Choice Requires="x14">
            <control shapeId="1212" r:id="rId34" name="Drop Down 188">
              <controlPr defaultSize="0" autoLine="0" autoPict="0">
                <anchor moveWithCells="1">
                  <from>
                    <xdr:col>2</xdr:col>
                    <xdr:colOff>38100</xdr:colOff>
                    <xdr:row>33</xdr:row>
                    <xdr:rowOff>31750</xdr:rowOff>
                  </from>
                  <to>
                    <xdr:col>2</xdr:col>
                    <xdr:colOff>755650</xdr:colOff>
                    <xdr:row>33</xdr:row>
                    <xdr:rowOff>165100</xdr:rowOff>
                  </to>
                </anchor>
              </controlPr>
            </control>
          </mc:Choice>
        </mc:AlternateContent>
        <mc:AlternateContent xmlns:mc="http://schemas.openxmlformats.org/markup-compatibility/2006">
          <mc:Choice Requires="x14">
            <control shapeId="1213" r:id="rId35" name="Drop Down 189">
              <controlPr defaultSize="0" autoLine="0" autoPict="0">
                <anchor moveWithCells="1">
                  <from>
                    <xdr:col>3</xdr:col>
                    <xdr:colOff>19050</xdr:colOff>
                    <xdr:row>33</xdr:row>
                    <xdr:rowOff>19050</xdr:rowOff>
                  </from>
                  <to>
                    <xdr:col>3</xdr:col>
                    <xdr:colOff>781050</xdr:colOff>
                    <xdr:row>33</xdr:row>
                    <xdr:rowOff>171450</xdr:rowOff>
                  </to>
                </anchor>
              </controlPr>
            </control>
          </mc:Choice>
        </mc:AlternateContent>
        <mc:AlternateContent xmlns:mc="http://schemas.openxmlformats.org/markup-compatibility/2006">
          <mc:Choice Requires="x14">
            <control shapeId="1214" r:id="rId36" name="Drop Down 190">
              <controlPr defaultSize="0" autoLine="0" autoPict="0">
                <anchor moveWithCells="1">
                  <from>
                    <xdr:col>2</xdr:col>
                    <xdr:colOff>31750</xdr:colOff>
                    <xdr:row>32</xdr:row>
                    <xdr:rowOff>19050</xdr:rowOff>
                  </from>
                  <to>
                    <xdr:col>2</xdr:col>
                    <xdr:colOff>774700</xdr:colOff>
                    <xdr:row>32</xdr:row>
                    <xdr:rowOff>146050</xdr:rowOff>
                  </to>
                </anchor>
              </controlPr>
            </control>
          </mc:Choice>
        </mc:AlternateContent>
        <mc:AlternateContent xmlns:mc="http://schemas.openxmlformats.org/markup-compatibility/2006">
          <mc:Choice Requires="x14">
            <control shapeId="1215" r:id="rId37" name="Drop Down 191">
              <controlPr defaultSize="0" autoLine="0" autoPict="0">
                <anchor moveWithCells="1">
                  <from>
                    <xdr:col>3</xdr:col>
                    <xdr:colOff>50800</xdr:colOff>
                    <xdr:row>32</xdr:row>
                    <xdr:rowOff>19050</xdr:rowOff>
                  </from>
                  <to>
                    <xdr:col>3</xdr:col>
                    <xdr:colOff>742950</xdr:colOff>
                    <xdr:row>32</xdr:row>
                    <xdr:rowOff>146050</xdr:rowOff>
                  </to>
                </anchor>
              </controlPr>
            </control>
          </mc:Choice>
        </mc:AlternateContent>
        <mc:AlternateContent xmlns:mc="http://schemas.openxmlformats.org/markup-compatibility/2006">
          <mc:Choice Requires="x14">
            <control shapeId="1219" r:id="rId38" name="Drop Down 195">
              <controlPr defaultSize="0" autoLine="0" autoPict="0">
                <anchor moveWithCells="1">
                  <from>
                    <xdr:col>1</xdr:col>
                    <xdr:colOff>819150</xdr:colOff>
                    <xdr:row>20</xdr:row>
                    <xdr:rowOff>19050</xdr:rowOff>
                  </from>
                  <to>
                    <xdr:col>2</xdr:col>
                    <xdr:colOff>762000</xdr:colOff>
                    <xdr:row>20</xdr:row>
                    <xdr:rowOff>184150</xdr:rowOff>
                  </to>
                </anchor>
              </controlPr>
            </control>
          </mc:Choice>
        </mc:AlternateContent>
        <mc:AlternateContent xmlns:mc="http://schemas.openxmlformats.org/markup-compatibility/2006">
          <mc:Choice Requires="x14">
            <control shapeId="1221" r:id="rId39" name="Drop Down 197">
              <controlPr defaultSize="0" autoLine="0" autoPict="0">
                <anchor moveWithCells="1">
                  <from>
                    <xdr:col>5</xdr:col>
                    <xdr:colOff>12700</xdr:colOff>
                    <xdr:row>20</xdr:row>
                    <xdr:rowOff>12700</xdr:rowOff>
                  </from>
                  <to>
                    <xdr:col>5</xdr:col>
                    <xdr:colOff>781050</xdr:colOff>
                    <xdr:row>20</xdr:row>
                    <xdr:rowOff>171450</xdr:rowOff>
                  </to>
                </anchor>
              </controlPr>
            </control>
          </mc:Choice>
        </mc:AlternateContent>
        <mc:AlternateContent xmlns:mc="http://schemas.openxmlformats.org/markup-compatibility/2006">
          <mc:Choice Requires="x14">
            <control shapeId="1222" r:id="rId40" name="Check Box 198">
              <controlPr defaultSize="0" autoFill="0" autoLine="0" autoPict="0">
                <anchor moveWithCells="1">
                  <from>
                    <xdr:col>0</xdr:col>
                    <xdr:colOff>755650</xdr:colOff>
                    <xdr:row>19</xdr:row>
                    <xdr:rowOff>50800</xdr:rowOff>
                  </from>
                  <to>
                    <xdr:col>1</xdr:col>
                    <xdr:colOff>57150</xdr:colOff>
                    <xdr:row>19</xdr:row>
                    <xdr:rowOff>171450</xdr:rowOff>
                  </to>
                </anchor>
              </controlPr>
            </control>
          </mc:Choice>
        </mc:AlternateContent>
        <mc:AlternateContent xmlns:mc="http://schemas.openxmlformats.org/markup-compatibility/2006">
          <mc:Choice Requires="x14">
            <control shapeId="1223" r:id="rId41" name="Option Button 199">
              <controlPr defaultSize="0" autoFill="0" autoLine="0" autoPict="0" altText="N991xB, 6xB">
                <anchor moveWithCells="1">
                  <from>
                    <xdr:col>0</xdr:col>
                    <xdr:colOff>57150</xdr:colOff>
                    <xdr:row>5</xdr:row>
                    <xdr:rowOff>0</xdr:rowOff>
                  </from>
                  <to>
                    <xdr:col>0</xdr:col>
                    <xdr:colOff>895350</xdr:colOff>
                    <xdr:row>6</xdr:row>
                    <xdr:rowOff>12700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AT106"/>
  <sheetViews>
    <sheetView topLeftCell="P1" workbookViewId="0">
      <selection activeCell="AL13" sqref="AL13"/>
    </sheetView>
  </sheetViews>
  <sheetFormatPr defaultColWidth="8.81640625" defaultRowHeight="14.5"/>
  <cols>
    <col min="1" max="1" width="13.54296875" style="4" customWidth="1"/>
    <col min="2" max="2" width="14.81640625" style="4" customWidth="1"/>
    <col min="3" max="3" width="16.54296875" style="4" customWidth="1"/>
    <col min="4" max="4" width="6.81640625" style="4" hidden="1" customWidth="1"/>
    <col min="5" max="14" width="8.81640625" style="4" hidden="1" customWidth="1"/>
    <col min="15" max="18" width="8.81640625" style="4" customWidth="1"/>
    <col min="19" max="30" width="8.81640625" style="4" hidden="1" customWidth="1"/>
    <col min="31" max="32" width="8.81640625" style="4"/>
    <col min="33" max="33" width="7.81640625" style="4" customWidth="1"/>
    <col min="34" max="34" width="7.26953125" style="4" customWidth="1"/>
    <col min="35" max="35" width="6.81640625" style="4" customWidth="1"/>
    <col min="36" max="36" width="6.26953125" style="4" customWidth="1"/>
    <col min="37" max="37" width="7.7265625" style="4" customWidth="1"/>
    <col min="38" max="39" width="10.1796875" style="4" customWidth="1"/>
    <col min="40" max="40" width="8.81640625" style="4"/>
    <col min="41" max="41" width="6.7265625" style="4" customWidth="1"/>
    <col min="42" max="42" width="7.54296875" style="4" customWidth="1"/>
    <col min="43" max="43" width="8.1796875" style="4" customWidth="1"/>
    <col min="44" max="44" width="6.453125" style="4" customWidth="1"/>
    <col min="45" max="45" width="9.54296875" style="4" customWidth="1"/>
    <col min="46" max="46" width="9.1796875" style="4" customWidth="1"/>
    <col min="47" max="47" width="7.1796875" style="4" customWidth="1"/>
    <col min="48" max="48" width="8.81640625" style="4" customWidth="1"/>
    <col min="49" max="49" width="7.26953125" style="4" customWidth="1"/>
    <col min="50" max="50" width="7.81640625" style="4" customWidth="1"/>
    <col min="51" max="51" width="8.54296875" style="4" customWidth="1"/>
    <col min="52" max="52" width="9" style="4" customWidth="1"/>
    <col min="53" max="53" width="14.1796875" style="4" customWidth="1"/>
    <col min="54" max="16384" width="8.81640625" style="4"/>
  </cols>
  <sheetData>
    <row r="1" spans="1:46">
      <c r="AG1" s="4" t="s">
        <v>306</v>
      </c>
      <c r="AN1" s="4" t="s">
        <v>21</v>
      </c>
    </row>
    <row r="2" spans="1:46">
      <c r="AE2" s="4" t="s">
        <v>348</v>
      </c>
      <c r="AF2" s="4" t="s">
        <v>349</v>
      </c>
      <c r="AG2" s="4" t="s">
        <v>18</v>
      </c>
      <c r="AH2" s="4" t="s">
        <v>19</v>
      </c>
      <c r="AI2" s="4" t="s">
        <v>20</v>
      </c>
      <c r="AJ2" s="4" t="s">
        <v>22</v>
      </c>
      <c r="AK2" s="4" t="s">
        <v>359</v>
      </c>
      <c r="AL2" s="4" t="s">
        <v>244</v>
      </c>
      <c r="AM2" s="4" t="s">
        <v>245</v>
      </c>
      <c r="AN2" s="4" t="s">
        <v>18</v>
      </c>
      <c r="AO2" s="4" t="s">
        <v>19</v>
      </c>
      <c r="AP2" s="4" t="s">
        <v>20</v>
      </c>
      <c r="AQ2" s="4" t="s">
        <v>22</v>
      </c>
      <c r="AR2" s="4" t="s">
        <v>359</v>
      </c>
      <c r="AS2" s="4" t="s">
        <v>244</v>
      </c>
      <c r="AT2" s="4" t="s">
        <v>245</v>
      </c>
    </row>
    <row r="3" spans="1:46">
      <c r="A3" s="4" t="s">
        <v>242</v>
      </c>
      <c r="P3" s="4" t="s">
        <v>243</v>
      </c>
      <c r="AE3" s="4" t="s">
        <v>312</v>
      </c>
      <c r="AF3" s="4" t="s">
        <v>312</v>
      </c>
      <c r="AN3" s="4" t="s">
        <v>0</v>
      </c>
      <c r="AO3" s="4" t="s">
        <v>0</v>
      </c>
      <c r="AP3" s="4" t="s">
        <v>0</v>
      </c>
    </row>
    <row r="4" spans="1:46">
      <c r="A4" s="4" t="s">
        <v>5</v>
      </c>
      <c r="B4" s="4" t="s">
        <v>306</v>
      </c>
      <c r="C4" s="4" t="s">
        <v>152</v>
      </c>
      <c r="D4" s="4" t="s">
        <v>15</v>
      </c>
      <c r="E4" s="4">
        <v>1</v>
      </c>
      <c r="F4" s="4">
        <v>2</v>
      </c>
      <c r="G4" s="4">
        <v>3</v>
      </c>
      <c r="H4" s="4">
        <v>4</v>
      </c>
      <c r="I4" s="4">
        <v>5</v>
      </c>
      <c r="J4" s="4">
        <v>6</v>
      </c>
      <c r="K4" s="4">
        <v>7</v>
      </c>
      <c r="L4" s="4">
        <v>8</v>
      </c>
      <c r="M4" s="4">
        <v>9</v>
      </c>
      <c r="N4" s="4">
        <v>10</v>
      </c>
      <c r="P4" s="4" t="s">
        <v>5</v>
      </c>
      <c r="Q4" s="4" t="s">
        <v>306</v>
      </c>
      <c r="R4" s="4" t="s">
        <v>152</v>
      </c>
      <c r="S4" s="4" t="s">
        <v>15</v>
      </c>
      <c r="T4" s="4">
        <v>1</v>
      </c>
      <c r="U4" s="4">
        <v>2</v>
      </c>
      <c r="V4" s="4">
        <v>3</v>
      </c>
      <c r="W4" s="4">
        <v>4</v>
      </c>
      <c r="X4" s="4">
        <v>5</v>
      </c>
      <c r="Y4" s="4">
        <v>6</v>
      </c>
      <c r="Z4" s="4">
        <v>7</v>
      </c>
      <c r="AA4" s="4">
        <v>8</v>
      </c>
      <c r="AB4" s="4">
        <v>9</v>
      </c>
      <c r="AC4" s="4">
        <v>10</v>
      </c>
      <c r="AE4" s="4">
        <v>0.01</v>
      </c>
      <c r="AF4" s="4">
        <v>0.03</v>
      </c>
      <c r="AG4" s="4">
        <v>0.13</v>
      </c>
      <c r="AH4" s="4">
        <v>0.13</v>
      </c>
      <c r="AI4" s="4">
        <v>0.11</v>
      </c>
      <c r="AJ4" s="4">
        <v>0</v>
      </c>
      <c r="AK4" s="4">
        <v>0</v>
      </c>
      <c r="AL4" s="4">
        <f>CHOOSE(NseSrc_DataType,0,'346'!AG4,'346'!AH4,'346'!AI4,AJ4,AK4,0)</f>
        <v>0</v>
      </c>
      <c r="AM4" s="4">
        <f>CHOOSE(CalNseSrc_DataType,0,'346'!AG4,'346'!AH4,'346'!AI4,AJ4,AK4,0)</f>
        <v>0</v>
      </c>
      <c r="AN4" s="4">
        <v>4.5</v>
      </c>
      <c r="AO4" s="4">
        <v>14</v>
      </c>
      <c r="AP4" s="4">
        <v>12</v>
      </c>
      <c r="AQ4" s="4">
        <v>0</v>
      </c>
      <c r="AR4" s="4">
        <v>0</v>
      </c>
      <c r="AS4" s="4">
        <f>CHOOSE(NseSrc_DataType,0,'346'!AN4,'346'!AO4,'346'!AP4,AQ4,AR4,0)</f>
        <v>0</v>
      </c>
      <c r="AT4" s="4">
        <f>CHOOSE(CalNseSrc_DataType,0,'346'!AN4,'346'!AO4,'346'!AP4,AQ4,AR4,0)</f>
        <v>0</v>
      </c>
    </row>
    <row r="5" spans="1:46">
      <c r="A5" s="4">
        <f>DUT!T6</f>
        <v>0.1</v>
      </c>
      <c r="B5" s="4">
        <f>CHOOSE($D5,$AL$4,$AL$5,$AL$6,$AL$7,$AL$8,$AL$9,$AL$10)</f>
        <v>0</v>
      </c>
      <c r="C5" s="4">
        <f>CHOOSE($D5,$AS$4,$AS$5,$AS$6,$AS$7,$AS$8,$AS$9,$AS$10,$AS$11,$AS$12,$AS$13)</f>
        <v>0</v>
      </c>
      <c r="D5" s="4">
        <f>SUM(E5:N5)</f>
        <v>2</v>
      </c>
      <c r="E5" s="4">
        <f t="shared" ref="E5:E36" si="0">1*AND($A5&gt;=$AE$4,$A5&lt;$AF$4)</f>
        <v>0</v>
      </c>
      <c r="F5" s="4">
        <f t="shared" ref="F5:F36" si="1">2*AND($A5&gt;=$AE$5,$A5&lt;$AF$5)</f>
        <v>2</v>
      </c>
      <c r="G5" s="4">
        <f t="shared" ref="G5:G36" si="2">3*AND($A5&gt;=$AE$6,$A5&lt;$AF$6)</f>
        <v>0</v>
      </c>
      <c r="H5" s="4">
        <f t="shared" ref="H5:H36" si="3">4*AND($A5&gt;=$AE$7,$A5&lt;$AF$7)</f>
        <v>0</v>
      </c>
      <c r="I5" s="4">
        <f t="shared" ref="I5:I36" si="4">5*AND($A5&gt;=$AE$8,$A5&lt;$AF$8)</f>
        <v>0</v>
      </c>
      <c r="J5" s="4">
        <f t="shared" ref="J5:J36" si="5">6*AND($A5&gt;=$AE$9,$A5&lt;$AF$9)</f>
        <v>0</v>
      </c>
      <c r="K5" s="4">
        <f t="shared" ref="K5:K36" si="6">7*AND($A5&gt;=$AE$10,$A5&lt;$AF$10)</f>
        <v>0</v>
      </c>
      <c r="L5" s="4">
        <f t="shared" ref="L5:L36" si="7">8*AND($A5&gt;=$AE$11,$A5&lt;$AF$11)</f>
        <v>0</v>
      </c>
      <c r="M5" s="4">
        <f t="shared" ref="M5:M36" si="8">9*AND($A5&gt;=$AE$12,$A5&lt;$AF$12)</f>
        <v>0</v>
      </c>
      <c r="N5" s="4">
        <f t="shared" ref="N5:N36" si="9">10*AND($A5&gt;=$AE$13,$A5&lt;$AF$13)</f>
        <v>0</v>
      </c>
      <c r="P5" s="4">
        <f>DUT!U6</f>
        <v>0.1</v>
      </c>
      <c r="Q5" s="4">
        <f>CHOOSE($S5,$AM$4,$AM$5,$AM$6,$AM$7,$AM$8,$AM$9,$AM$10)</f>
        <v>0</v>
      </c>
      <c r="R5" s="4">
        <f>CHOOSE($S5,$AT$4,$AT$5,$AT$6,$AT$7,$AT$8,$AT$9,$AT$10,$AT$11,$AT$12,$AT$13)</f>
        <v>0</v>
      </c>
      <c r="S5" s="4">
        <f>SUM(T5:AC5)</f>
        <v>2</v>
      </c>
      <c r="T5" s="4">
        <f>1*AND($P5&gt;=$AE$4,$P5&lt;$AF$4)</f>
        <v>0</v>
      </c>
      <c r="U5" s="4">
        <f>2*AND($P5&gt;=$AE$5,$P5&lt;$AF$5)</f>
        <v>2</v>
      </c>
      <c r="V5" s="4">
        <f>3*AND($P5&gt;=$AE$6,$P5&lt;$AF$6)</f>
        <v>0</v>
      </c>
      <c r="W5" s="4">
        <f>4*AND($P5&gt;=$AE$7,$P5&lt;$AF$7)</f>
        <v>0</v>
      </c>
      <c r="X5" s="4">
        <f>5*AND($P5&gt;=$AE$8,$P5&lt;$AF$8)</f>
        <v>0</v>
      </c>
      <c r="Y5" s="4">
        <f>6*AND($P5&gt;=$AE$9,$P5&lt;$AF$9)</f>
        <v>0</v>
      </c>
      <c r="Z5" s="4">
        <f>7*AND($P5&gt;=$AE$10,$P5&lt;$AF$10)</f>
        <v>0</v>
      </c>
      <c r="AA5" s="4">
        <f>8*AND($P5&gt;=$AE$11,$P5&lt;$AF$11)</f>
        <v>0</v>
      </c>
      <c r="AB5" s="4">
        <f>9*AND($P5&gt;=$AE$12,$P5&lt;$AF$12)</f>
        <v>0</v>
      </c>
      <c r="AC5" s="4">
        <f>10*AND($P5&gt;=$AE$13,$P5&lt;$AF$13)</f>
        <v>0</v>
      </c>
      <c r="AE5" s="4">
        <v>0.03</v>
      </c>
      <c r="AF5" s="4">
        <v>5</v>
      </c>
      <c r="AG5" s="4">
        <v>7.0000000000000007E-2</v>
      </c>
      <c r="AH5" s="4">
        <v>7.0000000000000007E-2</v>
      </c>
      <c r="AI5" s="4">
        <v>0.11</v>
      </c>
      <c r="AJ5" s="4">
        <v>0.15</v>
      </c>
      <c r="AK5" s="4">
        <v>2.5000000000000001E-2</v>
      </c>
      <c r="AL5" s="4">
        <f>CHOOSE(NseSrc_DataType,0,'346'!AG5,'346'!AH5,'346'!AI5,AJ5,AK5,0)</f>
        <v>0</v>
      </c>
      <c r="AM5" s="4">
        <f>CHOOSE(CalNseSrc_DataType,0,'346'!AG5,'346'!AH5,'346'!AI5,AJ5,AK5,0)</f>
        <v>0</v>
      </c>
      <c r="AN5" s="4">
        <v>4.5</v>
      </c>
      <c r="AO5" s="4">
        <v>14</v>
      </c>
      <c r="AP5" s="4">
        <v>12</v>
      </c>
      <c r="AQ5" s="4">
        <v>18.5</v>
      </c>
      <c r="AR5" s="4">
        <v>8</v>
      </c>
      <c r="AS5" s="4">
        <f>CHOOSE(NseSrc_DataType,0,'346'!AN5,'346'!AO5,'346'!AP5,AQ5,AR5,0)</f>
        <v>0</v>
      </c>
      <c r="AT5" s="4">
        <f>CHOOSE(CalNseSrc_DataType,0,'346'!AN5,'346'!AO5,'346'!AP5,AQ5,AR5,0)</f>
        <v>0</v>
      </c>
    </row>
    <row r="6" spans="1:46">
      <c r="A6" s="4">
        <f>DUT!T7</f>
        <v>0.628</v>
      </c>
      <c r="B6" s="4">
        <f t="shared" ref="B6:B37" si="10">CHOOSE($D6,$AL$4,$AL$5,$AL$6,$AL$7,$AL$8,$AL$9,$AL$10,$AL$11,$AL$12,$AL$13)</f>
        <v>0</v>
      </c>
      <c r="C6" s="4">
        <f t="shared" ref="C6:C37" si="11">CHOOSE($D6,$AS$4,$AS$5,$AS$6,$AS$7,$AS$8,$AS$9,$AS$10,$AS$11,$AS$12,$AS$13)</f>
        <v>0</v>
      </c>
      <c r="D6" s="4">
        <f t="shared" ref="D6:D69" si="12">SUM(E6:N6)</f>
        <v>2</v>
      </c>
      <c r="E6" s="4">
        <f t="shared" si="0"/>
        <v>0</v>
      </c>
      <c r="F6" s="4">
        <f t="shared" si="1"/>
        <v>2</v>
      </c>
      <c r="G6" s="4">
        <f t="shared" si="2"/>
        <v>0</v>
      </c>
      <c r="H6" s="4">
        <f t="shared" si="3"/>
        <v>0</v>
      </c>
      <c r="I6" s="4">
        <f t="shared" si="4"/>
        <v>0</v>
      </c>
      <c r="J6" s="4">
        <f t="shared" si="5"/>
        <v>0</v>
      </c>
      <c r="K6" s="4">
        <f t="shared" si="6"/>
        <v>0</v>
      </c>
      <c r="L6" s="4">
        <f t="shared" si="7"/>
        <v>0</v>
      </c>
      <c r="M6" s="4">
        <f t="shared" si="8"/>
        <v>0</v>
      </c>
      <c r="N6" s="4">
        <f t="shared" si="9"/>
        <v>0</v>
      </c>
      <c r="P6" s="4">
        <f>DUT!U7</f>
        <v>0.628</v>
      </c>
      <c r="Q6" s="4">
        <f t="shared" ref="Q6:Q69" si="13">CHOOSE($S6,$AM$4,$AM$5,$AM$6,$AM$7,$AM$8,$AM$9,$AM$10)</f>
        <v>0</v>
      </c>
      <c r="R6" s="4">
        <f t="shared" ref="R6:R69" si="14">CHOOSE($S6,$AT$4,$AT$5,$AT$6,$AT$7,$AT$8,$AT$9,$AT$10,$AT$11,$AT$12,$AT$13)</f>
        <v>0</v>
      </c>
      <c r="S6" s="4">
        <f t="shared" ref="S6:S69" si="15">SUM(T6:AC6)</f>
        <v>2</v>
      </c>
      <c r="T6" s="4">
        <f t="shared" ref="T6:T69" si="16">1*AND($P6&gt;=$AE$4,$P6&lt;$AF$4)</f>
        <v>0</v>
      </c>
      <c r="U6" s="4">
        <f t="shared" ref="U6:U69" si="17">2*AND($P6&gt;=$AE$5,$P6&lt;$AF$5)</f>
        <v>2</v>
      </c>
      <c r="V6" s="4">
        <f t="shared" ref="V6:V69" si="18">3*AND($P6&gt;=$AE$6,$P6&lt;$AF$6)</f>
        <v>0</v>
      </c>
      <c r="W6" s="4">
        <f t="shared" ref="W6:W69" si="19">4*AND($P6&gt;=$AE$7,$P6&lt;$AF$7)</f>
        <v>0</v>
      </c>
      <c r="X6" s="4">
        <f t="shared" ref="X6:X69" si="20">5*AND($P6&gt;=$AE$8,$P6&lt;$AF$8)</f>
        <v>0</v>
      </c>
      <c r="Y6" s="4">
        <f t="shared" ref="Y6:Y69" si="21">6*AND($P6&gt;=$AE$9,$P6&lt;$AF$9)</f>
        <v>0</v>
      </c>
      <c r="Z6" s="4">
        <f t="shared" ref="Z6:Z69" si="22">7*AND($P6&gt;=$AE$10,$P6&lt;$AF$10)</f>
        <v>0</v>
      </c>
      <c r="AA6" s="4">
        <f t="shared" ref="AA6:AA69" si="23">8*AND($P6&gt;=$AE$11,$P6&lt;$AF$11)</f>
        <v>0</v>
      </c>
      <c r="AB6" s="4">
        <f t="shared" ref="AB6:AB69" si="24">9*AND($P6&gt;=$AE$12,$P6&lt;$AF$12)</f>
        <v>0</v>
      </c>
      <c r="AC6" s="4">
        <f t="shared" ref="AC6:AC69" si="25">10*AND($P6&gt;=$AE$13,$P6&lt;$AF$13)</f>
        <v>0</v>
      </c>
      <c r="AE6" s="4">
        <v>5</v>
      </c>
      <c r="AF6" s="4">
        <v>18.100000000000001</v>
      </c>
      <c r="AG6" s="4">
        <v>0.11</v>
      </c>
      <c r="AH6" s="4">
        <v>0.11</v>
      </c>
      <c r="AI6" s="4">
        <v>0.11</v>
      </c>
      <c r="AJ6" s="4">
        <v>0.15</v>
      </c>
      <c r="AK6" s="4">
        <v>2.5000000000000001E-2</v>
      </c>
      <c r="AL6" s="4">
        <f>CHOOSE(NseSrc_DataType,0,'346'!AG6,'346'!AH6,'346'!AI6,AJ6,AK6,0)</f>
        <v>0</v>
      </c>
      <c r="AM6" s="4">
        <f>CHOOSE(CalNseSrc_DataType,0,'346'!AG6,'346'!AH6,'346'!AI6,AJ6,AK6,0)</f>
        <v>0</v>
      </c>
      <c r="AN6" s="4">
        <v>4.5</v>
      </c>
      <c r="AO6" s="4">
        <v>14</v>
      </c>
      <c r="AP6" s="4">
        <v>12</v>
      </c>
      <c r="AQ6" s="4">
        <v>15.5</v>
      </c>
      <c r="AR6" s="4">
        <v>5</v>
      </c>
      <c r="AS6" s="4">
        <f>CHOOSE(NseSrc_DataType,0,'346'!AN6,'346'!AO6,'346'!AP6,AQ6,AR6,0)</f>
        <v>0</v>
      </c>
      <c r="AT6" s="4">
        <f>CHOOSE(CalNseSrc_DataType,0,'346'!AN6,'346'!AO6,'346'!AP6,AQ6,AR6,0)</f>
        <v>0</v>
      </c>
    </row>
    <row r="7" spans="1:46">
      <c r="A7" s="4">
        <f>DUT!T8</f>
        <v>1.1560000000000001</v>
      </c>
      <c r="B7" s="4">
        <f t="shared" si="10"/>
        <v>0</v>
      </c>
      <c r="C7" s="4">
        <f t="shared" si="11"/>
        <v>0</v>
      </c>
      <c r="D7" s="4">
        <f t="shared" si="12"/>
        <v>2</v>
      </c>
      <c r="E7" s="4">
        <f t="shared" si="0"/>
        <v>0</v>
      </c>
      <c r="F7" s="4">
        <f t="shared" si="1"/>
        <v>2</v>
      </c>
      <c r="G7" s="4">
        <f t="shared" si="2"/>
        <v>0</v>
      </c>
      <c r="H7" s="4">
        <f t="shared" si="3"/>
        <v>0</v>
      </c>
      <c r="I7" s="4">
        <f t="shared" si="4"/>
        <v>0</v>
      </c>
      <c r="J7" s="4">
        <f t="shared" si="5"/>
        <v>0</v>
      </c>
      <c r="K7" s="4">
        <f t="shared" si="6"/>
        <v>0</v>
      </c>
      <c r="L7" s="4">
        <f t="shared" si="7"/>
        <v>0</v>
      </c>
      <c r="M7" s="4">
        <f t="shared" si="8"/>
        <v>0</v>
      </c>
      <c r="N7" s="4">
        <f t="shared" si="9"/>
        <v>0</v>
      </c>
      <c r="P7" s="4">
        <f>DUT!U8</f>
        <v>1.1560000000000001</v>
      </c>
      <c r="Q7" s="4">
        <f t="shared" si="13"/>
        <v>0</v>
      </c>
      <c r="R7" s="4">
        <f t="shared" si="14"/>
        <v>0</v>
      </c>
      <c r="S7" s="4">
        <f t="shared" si="15"/>
        <v>2</v>
      </c>
      <c r="T7" s="4">
        <f t="shared" si="16"/>
        <v>0</v>
      </c>
      <c r="U7" s="4">
        <f t="shared" si="17"/>
        <v>2</v>
      </c>
      <c r="V7" s="4">
        <f t="shared" si="18"/>
        <v>0</v>
      </c>
      <c r="W7" s="4">
        <f t="shared" si="19"/>
        <v>0</v>
      </c>
      <c r="X7" s="4">
        <f t="shared" si="20"/>
        <v>0</v>
      </c>
      <c r="Y7" s="4">
        <f t="shared" si="21"/>
        <v>0</v>
      </c>
      <c r="Z7" s="4">
        <f t="shared" si="22"/>
        <v>0</v>
      </c>
      <c r="AA7" s="4">
        <f t="shared" si="23"/>
        <v>0</v>
      </c>
      <c r="AB7" s="4">
        <f t="shared" si="24"/>
        <v>0</v>
      </c>
      <c r="AC7" s="4">
        <f t="shared" si="25"/>
        <v>0</v>
      </c>
      <c r="AE7" s="4">
        <v>18.100000000000001</v>
      </c>
      <c r="AF7" s="4">
        <v>20</v>
      </c>
      <c r="AG7" s="4">
        <v>0</v>
      </c>
      <c r="AH7" s="4">
        <v>0</v>
      </c>
      <c r="AI7" s="4">
        <v>0.15</v>
      </c>
      <c r="AJ7" s="4">
        <v>0.15</v>
      </c>
      <c r="AK7" s="4">
        <v>2.5000000000000001E-2</v>
      </c>
      <c r="AL7" s="4">
        <f>CHOOSE(NseSrc_DataType,0,'346'!AG7,'346'!AH7,'346'!AI7,AJ7,AK7,0)</f>
        <v>0</v>
      </c>
      <c r="AM7" s="4">
        <f>CHOOSE(CalNseSrc_DataType,0,'346'!AG7,'346'!AH7,'346'!AI7,AJ7,AK7,0)</f>
        <v>0</v>
      </c>
      <c r="AN7" s="4">
        <v>0</v>
      </c>
      <c r="AO7" s="4">
        <v>0</v>
      </c>
      <c r="AP7" s="4">
        <v>12</v>
      </c>
      <c r="AQ7" s="4">
        <v>15</v>
      </c>
      <c r="AR7" s="4">
        <v>5</v>
      </c>
      <c r="AS7" s="4">
        <f>CHOOSE(NseSrc_DataType,0,'346'!AN7,'346'!AO7,'346'!AP7,AQ7,AR7,0)</f>
        <v>0</v>
      </c>
      <c r="AT7" s="4">
        <f>CHOOSE(CalNseSrc_DataType,0,'346'!AN7,'346'!AO7,'346'!AP7,AQ7,AR7,0)</f>
        <v>0</v>
      </c>
    </row>
    <row r="8" spans="1:46">
      <c r="A8" s="4">
        <f>DUT!T9</f>
        <v>1.6840000000000002</v>
      </c>
      <c r="B8" s="4">
        <f t="shared" si="10"/>
        <v>0</v>
      </c>
      <c r="C8" s="4">
        <f t="shared" si="11"/>
        <v>0</v>
      </c>
      <c r="D8" s="4">
        <f t="shared" si="12"/>
        <v>2</v>
      </c>
      <c r="E8" s="4">
        <f t="shared" si="0"/>
        <v>0</v>
      </c>
      <c r="F8" s="4">
        <f t="shared" si="1"/>
        <v>2</v>
      </c>
      <c r="G8" s="4">
        <f t="shared" si="2"/>
        <v>0</v>
      </c>
      <c r="H8" s="4">
        <f t="shared" si="3"/>
        <v>0</v>
      </c>
      <c r="I8" s="4">
        <f t="shared" si="4"/>
        <v>0</v>
      </c>
      <c r="J8" s="4">
        <f t="shared" si="5"/>
        <v>0</v>
      </c>
      <c r="K8" s="4">
        <f t="shared" si="6"/>
        <v>0</v>
      </c>
      <c r="L8" s="4">
        <f t="shared" si="7"/>
        <v>0</v>
      </c>
      <c r="M8" s="4">
        <f t="shared" si="8"/>
        <v>0</v>
      </c>
      <c r="N8" s="4">
        <f t="shared" si="9"/>
        <v>0</v>
      </c>
      <c r="P8" s="4">
        <f>DUT!U9</f>
        <v>1.6840000000000002</v>
      </c>
      <c r="Q8" s="4">
        <f t="shared" si="13"/>
        <v>0</v>
      </c>
      <c r="R8" s="4">
        <f t="shared" si="14"/>
        <v>0</v>
      </c>
      <c r="S8" s="4">
        <f t="shared" si="15"/>
        <v>2</v>
      </c>
      <c r="T8" s="4">
        <f t="shared" si="16"/>
        <v>0</v>
      </c>
      <c r="U8" s="4">
        <f t="shared" si="17"/>
        <v>2</v>
      </c>
      <c r="V8" s="4">
        <f t="shared" si="18"/>
        <v>0</v>
      </c>
      <c r="W8" s="4">
        <f t="shared" si="19"/>
        <v>0</v>
      </c>
      <c r="X8" s="4">
        <f t="shared" si="20"/>
        <v>0</v>
      </c>
      <c r="Y8" s="4">
        <f t="shared" si="21"/>
        <v>0</v>
      </c>
      <c r="Z8" s="4">
        <f t="shared" si="22"/>
        <v>0</v>
      </c>
      <c r="AA8" s="4">
        <f t="shared" si="23"/>
        <v>0</v>
      </c>
      <c r="AB8" s="4">
        <f t="shared" si="24"/>
        <v>0</v>
      </c>
      <c r="AC8" s="4">
        <f t="shared" si="25"/>
        <v>0</v>
      </c>
      <c r="AE8" s="4">
        <v>20</v>
      </c>
      <c r="AF8" s="4">
        <v>26.51</v>
      </c>
      <c r="AG8" s="4">
        <v>0</v>
      </c>
      <c r="AH8" s="4">
        <v>0</v>
      </c>
      <c r="AI8" s="4">
        <v>0.15</v>
      </c>
      <c r="AJ8" s="4">
        <v>0.17</v>
      </c>
      <c r="AK8" s="4">
        <v>0.05</v>
      </c>
      <c r="AL8" s="4">
        <f>CHOOSE(NseSrc_DataType,0,'346'!AG8,'346'!AH8,'346'!AI8,AJ8,AK8,0)</f>
        <v>0</v>
      </c>
      <c r="AM8" s="4">
        <f>CHOOSE(CalNseSrc_DataType,0,'346'!AG8,'346'!AH8,'346'!AI8,AJ8,AK8,0)</f>
        <v>0</v>
      </c>
      <c r="AN8" s="4">
        <v>0</v>
      </c>
      <c r="AO8" s="4">
        <v>0</v>
      </c>
      <c r="AP8" s="4">
        <v>12</v>
      </c>
      <c r="AQ8" s="4">
        <v>13</v>
      </c>
      <c r="AR8" s="4">
        <v>4</v>
      </c>
      <c r="AS8" s="4">
        <f>CHOOSE(NseSrc_DataType,0,'346'!AN8,'346'!AO8,'346'!AP8,AQ8,AR8,0)</f>
        <v>0</v>
      </c>
      <c r="AT8" s="4">
        <f>CHOOSE(CalNseSrc_DataType,0,'346'!AN8,'346'!AO8,'346'!AP8,AQ8,AR8,0)</f>
        <v>0</v>
      </c>
    </row>
    <row r="9" spans="1:46">
      <c r="A9" s="4">
        <f>DUT!T10</f>
        <v>2.2120000000000002</v>
      </c>
      <c r="B9" s="4">
        <f t="shared" si="10"/>
        <v>0</v>
      </c>
      <c r="C9" s="4">
        <f t="shared" si="11"/>
        <v>0</v>
      </c>
      <c r="D9" s="4">
        <f t="shared" si="12"/>
        <v>2</v>
      </c>
      <c r="E9" s="4">
        <f t="shared" si="0"/>
        <v>0</v>
      </c>
      <c r="F9" s="4">
        <f t="shared" si="1"/>
        <v>2</v>
      </c>
      <c r="G9" s="4">
        <f t="shared" si="2"/>
        <v>0</v>
      </c>
      <c r="H9" s="4">
        <f t="shared" si="3"/>
        <v>0</v>
      </c>
      <c r="I9" s="4">
        <f t="shared" si="4"/>
        <v>0</v>
      </c>
      <c r="J9" s="4">
        <f t="shared" si="5"/>
        <v>0</v>
      </c>
      <c r="K9" s="4">
        <f t="shared" si="6"/>
        <v>0</v>
      </c>
      <c r="L9" s="4">
        <f t="shared" si="7"/>
        <v>0</v>
      </c>
      <c r="M9" s="4">
        <f t="shared" si="8"/>
        <v>0</v>
      </c>
      <c r="N9" s="4">
        <f t="shared" si="9"/>
        <v>0</v>
      </c>
      <c r="P9" s="4">
        <f>DUT!U10</f>
        <v>2.2120000000000002</v>
      </c>
      <c r="Q9" s="4">
        <f t="shared" si="13"/>
        <v>0</v>
      </c>
      <c r="R9" s="4">
        <f t="shared" si="14"/>
        <v>0</v>
      </c>
      <c r="S9" s="4">
        <f t="shared" si="15"/>
        <v>2</v>
      </c>
      <c r="T9" s="4">
        <f t="shared" si="16"/>
        <v>0</v>
      </c>
      <c r="U9" s="4">
        <f t="shared" si="17"/>
        <v>2</v>
      </c>
      <c r="V9" s="4">
        <f t="shared" si="18"/>
        <v>0</v>
      </c>
      <c r="W9" s="4">
        <f t="shared" si="19"/>
        <v>0</v>
      </c>
      <c r="X9" s="4">
        <f t="shared" si="20"/>
        <v>0</v>
      </c>
      <c r="Y9" s="4">
        <f t="shared" si="21"/>
        <v>0</v>
      </c>
      <c r="Z9" s="4">
        <f t="shared" si="22"/>
        <v>0</v>
      </c>
      <c r="AA9" s="4">
        <f t="shared" si="23"/>
        <v>0</v>
      </c>
      <c r="AB9" s="4">
        <f t="shared" si="24"/>
        <v>0</v>
      </c>
      <c r="AC9" s="4">
        <f t="shared" si="25"/>
        <v>0</v>
      </c>
      <c r="AE9" s="4">
        <v>26.51</v>
      </c>
      <c r="AF9" s="4">
        <v>40</v>
      </c>
      <c r="AG9" s="4">
        <v>0</v>
      </c>
      <c r="AH9" s="4">
        <v>0</v>
      </c>
      <c r="AI9" s="4">
        <v>0</v>
      </c>
      <c r="AJ9" s="4">
        <v>0.2</v>
      </c>
      <c r="AK9" s="4">
        <v>0.08</v>
      </c>
      <c r="AL9" s="4">
        <f>CHOOSE(NseSrc_DataType,0,'346'!AG9,'346'!AH9,'346'!AI9,AJ9,AK9,0)</f>
        <v>0</v>
      </c>
      <c r="AM9" s="4">
        <f>CHOOSE(CalNseSrc_DataType,0,'346'!AG9,'346'!AH9,'346'!AI9,AJ9,AK9,0)</f>
        <v>0</v>
      </c>
      <c r="AN9" s="4">
        <v>0</v>
      </c>
      <c r="AO9" s="4">
        <v>0</v>
      </c>
      <c r="AP9" s="4">
        <v>0</v>
      </c>
      <c r="AQ9" s="4">
        <v>10</v>
      </c>
      <c r="AR9" s="4">
        <v>3</v>
      </c>
      <c r="AS9" s="4">
        <f>CHOOSE(NseSrc_DataType,0,'346'!AN9,'346'!AO9,'346'!AP9,AQ9,AR9,0)</f>
        <v>0</v>
      </c>
      <c r="AT9" s="4">
        <f>CHOOSE(CalNseSrc_DataType,0,'346'!AN9,'346'!AO9,'346'!AP9,AQ9,AR9,0)</f>
        <v>0</v>
      </c>
    </row>
    <row r="10" spans="1:46">
      <c r="A10" s="4">
        <f>DUT!T11</f>
        <v>2.74</v>
      </c>
      <c r="B10" s="4">
        <f t="shared" si="10"/>
        <v>0</v>
      </c>
      <c r="C10" s="4">
        <f t="shared" si="11"/>
        <v>0</v>
      </c>
      <c r="D10" s="4">
        <f t="shared" si="12"/>
        <v>2</v>
      </c>
      <c r="E10" s="4">
        <f t="shared" si="0"/>
        <v>0</v>
      </c>
      <c r="F10" s="4">
        <f t="shared" si="1"/>
        <v>2</v>
      </c>
      <c r="G10" s="4">
        <f t="shared" si="2"/>
        <v>0</v>
      </c>
      <c r="H10" s="4">
        <f t="shared" si="3"/>
        <v>0</v>
      </c>
      <c r="I10" s="4">
        <f t="shared" si="4"/>
        <v>0</v>
      </c>
      <c r="J10" s="4">
        <f t="shared" si="5"/>
        <v>0</v>
      </c>
      <c r="K10" s="4">
        <f t="shared" si="6"/>
        <v>0</v>
      </c>
      <c r="L10" s="4">
        <f t="shared" si="7"/>
        <v>0</v>
      </c>
      <c r="M10" s="4">
        <f t="shared" si="8"/>
        <v>0</v>
      </c>
      <c r="N10" s="4">
        <f t="shared" si="9"/>
        <v>0</v>
      </c>
      <c r="P10" s="4">
        <f>DUT!U11</f>
        <v>2.74</v>
      </c>
      <c r="Q10" s="4">
        <f t="shared" si="13"/>
        <v>0</v>
      </c>
      <c r="R10" s="4">
        <f t="shared" si="14"/>
        <v>0</v>
      </c>
      <c r="S10" s="4">
        <f t="shared" si="15"/>
        <v>2</v>
      </c>
      <c r="T10" s="4">
        <f t="shared" si="16"/>
        <v>0</v>
      </c>
      <c r="U10" s="4">
        <f t="shared" si="17"/>
        <v>2</v>
      </c>
      <c r="V10" s="4">
        <f t="shared" si="18"/>
        <v>0</v>
      </c>
      <c r="W10" s="4">
        <f t="shared" si="19"/>
        <v>0</v>
      </c>
      <c r="X10" s="4">
        <f t="shared" si="20"/>
        <v>0</v>
      </c>
      <c r="Y10" s="4">
        <f t="shared" si="21"/>
        <v>0</v>
      </c>
      <c r="Z10" s="4">
        <f t="shared" si="22"/>
        <v>0</v>
      </c>
      <c r="AA10" s="4">
        <f t="shared" si="23"/>
        <v>0</v>
      </c>
      <c r="AB10" s="4">
        <f t="shared" si="24"/>
        <v>0</v>
      </c>
      <c r="AC10" s="4">
        <f t="shared" si="25"/>
        <v>0</v>
      </c>
      <c r="AE10" s="4">
        <v>40</v>
      </c>
      <c r="AF10" s="4">
        <v>50.1</v>
      </c>
      <c r="AG10" s="4">
        <v>0</v>
      </c>
      <c r="AH10" s="4">
        <v>0</v>
      </c>
      <c r="AI10" s="4">
        <v>0</v>
      </c>
      <c r="AJ10" s="4">
        <v>0.2</v>
      </c>
      <c r="AK10" s="4">
        <v>0</v>
      </c>
      <c r="AL10" s="4">
        <f>CHOOSE(NseSrc_DataType,0,'346'!AG10,'346'!AH10,'346'!AI10,AJ10,AK10,0)</f>
        <v>0</v>
      </c>
      <c r="AM10" s="4">
        <f>CHOOSE(CalNseSrc_DataType,0,'346'!AG10,'346'!AH10,'346'!AI10,AJ10,AK10,0)</f>
        <v>0</v>
      </c>
      <c r="AN10" s="4">
        <v>0</v>
      </c>
      <c r="AO10" s="4">
        <v>0</v>
      </c>
      <c r="AP10" s="4">
        <v>0</v>
      </c>
      <c r="AQ10" s="4">
        <v>7</v>
      </c>
      <c r="AR10" s="4">
        <v>0</v>
      </c>
      <c r="AS10" s="4">
        <f>CHOOSE(NseSrc_DataType,0,'346'!AN10,'346'!AO10,'346'!AP10,AQ10,AR10,0)</f>
        <v>0</v>
      </c>
      <c r="AT10" s="4">
        <f>CHOOSE(CalNseSrc_DataType,0,'346'!AN10,'346'!AO10,'346'!AP10,AQ10,AR10,0)</f>
        <v>0</v>
      </c>
    </row>
    <row r="11" spans="1:46">
      <c r="A11" s="4">
        <f>DUT!T12</f>
        <v>3.2680000000000002</v>
      </c>
      <c r="B11" s="4">
        <f t="shared" si="10"/>
        <v>0</v>
      </c>
      <c r="C11" s="4">
        <f t="shared" si="11"/>
        <v>0</v>
      </c>
      <c r="D11" s="4">
        <f t="shared" si="12"/>
        <v>2</v>
      </c>
      <c r="E11" s="4">
        <f t="shared" si="0"/>
        <v>0</v>
      </c>
      <c r="F11" s="4">
        <f t="shared" si="1"/>
        <v>2</v>
      </c>
      <c r="G11" s="4">
        <f t="shared" si="2"/>
        <v>0</v>
      </c>
      <c r="H11" s="4">
        <f t="shared" si="3"/>
        <v>0</v>
      </c>
      <c r="I11" s="4">
        <f t="shared" si="4"/>
        <v>0</v>
      </c>
      <c r="J11" s="4">
        <f t="shared" si="5"/>
        <v>0</v>
      </c>
      <c r="K11" s="4">
        <f t="shared" si="6"/>
        <v>0</v>
      </c>
      <c r="L11" s="4">
        <f t="shared" si="7"/>
        <v>0</v>
      </c>
      <c r="M11" s="4">
        <f t="shared" si="8"/>
        <v>0</v>
      </c>
      <c r="N11" s="4">
        <f t="shared" si="9"/>
        <v>0</v>
      </c>
      <c r="P11" s="4">
        <f>DUT!U12</f>
        <v>3.2680000000000002</v>
      </c>
      <c r="Q11" s="4">
        <f t="shared" si="13"/>
        <v>0</v>
      </c>
      <c r="R11" s="4">
        <f t="shared" si="14"/>
        <v>0</v>
      </c>
      <c r="S11" s="4">
        <f t="shared" si="15"/>
        <v>2</v>
      </c>
      <c r="T11" s="4">
        <f t="shared" si="16"/>
        <v>0</v>
      </c>
      <c r="U11" s="4">
        <f t="shared" si="17"/>
        <v>2</v>
      </c>
      <c r="V11" s="4">
        <f t="shared" si="18"/>
        <v>0</v>
      </c>
      <c r="W11" s="4">
        <f t="shared" si="19"/>
        <v>0</v>
      </c>
      <c r="X11" s="4">
        <f t="shared" si="20"/>
        <v>0</v>
      </c>
      <c r="Y11" s="4">
        <f t="shared" si="21"/>
        <v>0</v>
      </c>
      <c r="Z11" s="4">
        <f t="shared" si="22"/>
        <v>0</v>
      </c>
      <c r="AA11" s="4">
        <f t="shared" si="23"/>
        <v>0</v>
      </c>
      <c r="AB11" s="4">
        <f t="shared" si="24"/>
        <v>0</v>
      </c>
      <c r="AC11" s="4">
        <f t="shared" si="25"/>
        <v>0</v>
      </c>
      <c r="AE11" s="4">
        <v>50.1</v>
      </c>
      <c r="AF11" s="4">
        <v>1000</v>
      </c>
      <c r="AG11" s="4">
        <v>0</v>
      </c>
      <c r="AH11" s="4">
        <v>0</v>
      </c>
      <c r="AI11" s="4">
        <v>0</v>
      </c>
      <c r="AJ11" s="4">
        <v>0</v>
      </c>
      <c r="AK11" s="4">
        <v>0</v>
      </c>
      <c r="AL11" s="4">
        <f>CHOOSE(NseSrc_DataType,0,'346'!AG11,'346'!AH11,'346'!AI11,AJ11,AK11,0)</f>
        <v>0</v>
      </c>
      <c r="AM11" s="4">
        <f>CHOOSE(CalNseSrc_DataType,0,'346'!AG11,'346'!AH11,'346'!AI11,AJ11,AK11,0)</f>
        <v>0</v>
      </c>
      <c r="AN11" s="4">
        <v>0</v>
      </c>
      <c r="AO11" s="4">
        <v>0</v>
      </c>
      <c r="AP11" s="4">
        <v>0</v>
      </c>
      <c r="AQ11" s="4">
        <v>0</v>
      </c>
      <c r="AR11" s="4">
        <v>0</v>
      </c>
      <c r="AS11" s="4">
        <f>CHOOSE(NseSrc_DataType,0,'346'!AN11,'346'!AO11,'346'!AP11,AQ11,AR11,0)</f>
        <v>0</v>
      </c>
      <c r="AT11" s="4">
        <f>CHOOSE(CalNseSrc_DataType,0,'346'!AN11,'346'!AO11,'346'!AP11,AQ11,AR11,0)</f>
        <v>0</v>
      </c>
    </row>
    <row r="12" spans="1:46">
      <c r="A12" s="4">
        <f>DUT!T13</f>
        <v>3.7960000000000003</v>
      </c>
      <c r="B12" s="4">
        <f t="shared" si="10"/>
        <v>0</v>
      </c>
      <c r="C12" s="4">
        <f t="shared" si="11"/>
        <v>0</v>
      </c>
      <c r="D12" s="4">
        <f t="shared" si="12"/>
        <v>2</v>
      </c>
      <c r="E12" s="4">
        <f t="shared" si="0"/>
        <v>0</v>
      </c>
      <c r="F12" s="4">
        <f t="shared" si="1"/>
        <v>2</v>
      </c>
      <c r="G12" s="4">
        <f t="shared" si="2"/>
        <v>0</v>
      </c>
      <c r="H12" s="4">
        <f t="shared" si="3"/>
        <v>0</v>
      </c>
      <c r="I12" s="4">
        <f t="shared" si="4"/>
        <v>0</v>
      </c>
      <c r="J12" s="4">
        <f t="shared" si="5"/>
        <v>0</v>
      </c>
      <c r="K12" s="4">
        <f t="shared" si="6"/>
        <v>0</v>
      </c>
      <c r="L12" s="4">
        <f t="shared" si="7"/>
        <v>0</v>
      </c>
      <c r="M12" s="4">
        <f t="shared" si="8"/>
        <v>0</v>
      </c>
      <c r="N12" s="4">
        <f t="shared" si="9"/>
        <v>0</v>
      </c>
      <c r="P12" s="4">
        <f>DUT!U13</f>
        <v>3.7960000000000003</v>
      </c>
      <c r="Q12" s="4">
        <f t="shared" si="13"/>
        <v>0</v>
      </c>
      <c r="R12" s="4">
        <f t="shared" si="14"/>
        <v>0</v>
      </c>
      <c r="S12" s="4">
        <f t="shared" si="15"/>
        <v>2</v>
      </c>
      <c r="T12" s="4">
        <f t="shared" si="16"/>
        <v>0</v>
      </c>
      <c r="U12" s="4">
        <f t="shared" si="17"/>
        <v>2</v>
      </c>
      <c r="V12" s="4">
        <f t="shared" si="18"/>
        <v>0</v>
      </c>
      <c r="W12" s="4">
        <f t="shared" si="19"/>
        <v>0</v>
      </c>
      <c r="X12" s="4">
        <f t="shared" si="20"/>
        <v>0</v>
      </c>
      <c r="Y12" s="4">
        <f t="shared" si="21"/>
        <v>0</v>
      </c>
      <c r="Z12" s="4">
        <f t="shared" si="22"/>
        <v>0</v>
      </c>
      <c r="AA12" s="4">
        <f t="shared" si="23"/>
        <v>0</v>
      </c>
      <c r="AB12" s="4">
        <f t="shared" si="24"/>
        <v>0</v>
      </c>
      <c r="AC12" s="4">
        <f t="shared" si="25"/>
        <v>0</v>
      </c>
    </row>
    <row r="13" spans="1:46">
      <c r="A13" s="4">
        <f>DUT!T14</f>
        <v>4.3239999999999998</v>
      </c>
      <c r="B13" s="4">
        <f t="shared" si="10"/>
        <v>0</v>
      </c>
      <c r="C13" s="4">
        <f t="shared" si="11"/>
        <v>0</v>
      </c>
      <c r="D13" s="4">
        <f t="shared" si="12"/>
        <v>2</v>
      </c>
      <c r="E13" s="4">
        <f t="shared" si="0"/>
        <v>0</v>
      </c>
      <c r="F13" s="4">
        <f t="shared" si="1"/>
        <v>2</v>
      </c>
      <c r="G13" s="4">
        <f t="shared" si="2"/>
        <v>0</v>
      </c>
      <c r="H13" s="4">
        <f t="shared" si="3"/>
        <v>0</v>
      </c>
      <c r="I13" s="4">
        <f t="shared" si="4"/>
        <v>0</v>
      </c>
      <c r="J13" s="4">
        <f t="shared" si="5"/>
        <v>0</v>
      </c>
      <c r="K13" s="4">
        <f t="shared" si="6"/>
        <v>0</v>
      </c>
      <c r="L13" s="4">
        <f t="shared" si="7"/>
        <v>0</v>
      </c>
      <c r="M13" s="4">
        <f t="shared" si="8"/>
        <v>0</v>
      </c>
      <c r="N13" s="4">
        <f t="shared" si="9"/>
        <v>0</v>
      </c>
      <c r="P13" s="4">
        <f>DUT!U14</f>
        <v>4.3239999999999998</v>
      </c>
      <c r="Q13" s="4">
        <f t="shared" si="13"/>
        <v>0</v>
      </c>
      <c r="R13" s="4">
        <f t="shared" si="14"/>
        <v>0</v>
      </c>
      <c r="S13" s="4">
        <f t="shared" si="15"/>
        <v>2</v>
      </c>
      <c r="T13" s="4">
        <f t="shared" si="16"/>
        <v>0</v>
      </c>
      <c r="U13" s="4">
        <f t="shared" si="17"/>
        <v>2</v>
      </c>
      <c r="V13" s="4">
        <f t="shared" si="18"/>
        <v>0</v>
      </c>
      <c r="W13" s="4">
        <f t="shared" si="19"/>
        <v>0</v>
      </c>
      <c r="X13" s="4">
        <f t="shared" si="20"/>
        <v>0</v>
      </c>
      <c r="Y13" s="4">
        <f t="shared" si="21"/>
        <v>0</v>
      </c>
      <c r="Z13" s="4">
        <f t="shared" si="22"/>
        <v>0</v>
      </c>
      <c r="AA13" s="4">
        <f t="shared" si="23"/>
        <v>0</v>
      </c>
      <c r="AB13" s="4">
        <f t="shared" si="24"/>
        <v>0</v>
      </c>
      <c r="AC13" s="4">
        <f t="shared" si="25"/>
        <v>0</v>
      </c>
    </row>
    <row r="14" spans="1:46">
      <c r="A14" s="4">
        <f>DUT!T15</f>
        <v>4.8520000000000003</v>
      </c>
      <c r="B14" s="4">
        <f t="shared" si="10"/>
        <v>0</v>
      </c>
      <c r="C14" s="4">
        <f t="shared" si="11"/>
        <v>0</v>
      </c>
      <c r="D14" s="4">
        <f t="shared" si="12"/>
        <v>2</v>
      </c>
      <c r="E14" s="4">
        <f t="shared" si="0"/>
        <v>0</v>
      </c>
      <c r="F14" s="4">
        <f t="shared" si="1"/>
        <v>2</v>
      </c>
      <c r="G14" s="4">
        <f t="shared" si="2"/>
        <v>0</v>
      </c>
      <c r="H14" s="4">
        <f t="shared" si="3"/>
        <v>0</v>
      </c>
      <c r="I14" s="4">
        <f t="shared" si="4"/>
        <v>0</v>
      </c>
      <c r="J14" s="4">
        <f t="shared" si="5"/>
        <v>0</v>
      </c>
      <c r="K14" s="4">
        <f t="shared" si="6"/>
        <v>0</v>
      </c>
      <c r="L14" s="4">
        <f t="shared" si="7"/>
        <v>0</v>
      </c>
      <c r="M14" s="4">
        <f t="shared" si="8"/>
        <v>0</v>
      </c>
      <c r="N14" s="4">
        <f t="shared" si="9"/>
        <v>0</v>
      </c>
      <c r="P14" s="4">
        <f>DUT!U15</f>
        <v>4.8520000000000003</v>
      </c>
      <c r="Q14" s="4">
        <f t="shared" si="13"/>
        <v>0</v>
      </c>
      <c r="R14" s="4">
        <f t="shared" si="14"/>
        <v>0</v>
      </c>
      <c r="S14" s="4">
        <f t="shared" si="15"/>
        <v>2</v>
      </c>
      <c r="T14" s="4">
        <f t="shared" si="16"/>
        <v>0</v>
      </c>
      <c r="U14" s="4">
        <f t="shared" si="17"/>
        <v>2</v>
      </c>
      <c r="V14" s="4">
        <f t="shared" si="18"/>
        <v>0</v>
      </c>
      <c r="W14" s="4">
        <f t="shared" si="19"/>
        <v>0</v>
      </c>
      <c r="X14" s="4">
        <f t="shared" si="20"/>
        <v>0</v>
      </c>
      <c r="Y14" s="4">
        <f t="shared" si="21"/>
        <v>0</v>
      </c>
      <c r="Z14" s="4">
        <f t="shared" si="22"/>
        <v>0</v>
      </c>
      <c r="AA14" s="4">
        <f t="shared" si="23"/>
        <v>0</v>
      </c>
      <c r="AB14" s="4">
        <f t="shared" si="24"/>
        <v>0</v>
      </c>
      <c r="AC14" s="4">
        <f t="shared" si="25"/>
        <v>0</v>
      </c>
    </row>
    <row r="15" spans="1:46">
      <c r="A15" s="4">
        <f>DUT!T16</f>
        <v>5.3800000000000008</v>
      </c>
      <c r="B15" s="4">
        <f t="shared" si="10"/>
        <v>0</v>
      </c>
      <c r="C15" s="4">
        <f t="shared" si="11"/>
        <v>0</v>
      </c>
      <c r="D15" s="4">
        <f t="shared" si="12"/>
        <v>3</v>
      </c>
      <c r="E15" s="4">
        <f t="shared" si="0"/>
        <v>0</v>
      </c>
      <c r="F15" s="4">
        <f t="shared" si="1"/>
        <v>0</v>
      </c>
      <c r="G15" s="4">
        <f t="shared" si="2"/>
        <v>3</v>
      </c>
      <c r="H15" s="4">
        <f t="shared" si="3"/>
        <v>0</v>
      </c>
      <c r="I15" s="4">
        <f t="shared" si="4"/>
        <v>0</v>
      </c>
      <c r="J15" s="4">
        <f t="shared" si="5"/>
        <v>0</v>
      </c>
      <c r="K15" s="4">
        <f t="shared" si="6"/>
        <v>0</v>
      </c>
      <c r="L15" s="4">
        <f t="shared" si="7"/>
        <v>0</v>
      </c>
      <c r="M15" s="4">
        <f t="shared" si="8"/>
        <v>0</v>
      </c>
      <c r="N15" s="4">
        <f t="shared" si="9"/>
        <v>0</v>
      </c>
      <c r="P15" s="4">
        <f>DUT!U16</f>
        <v>5.3800000000000008</v>
      </c>
      <c r="Q15" s="4">
        <f t="shared" si="13"/>
        <v>0</v>
      </c>
      <c r="R15" s="4">
        <f t="shared" si="14"/>
        <v>0</v>
      </c>
      <c r="S15" s="4">
        <f t="shared" si="15"/>
        <v>3</v>
      </c>
      <c r="T15" s="4">
        <f t="shared" si="16"/>
        <v>0</v>
      </c>
      <c r="U15" s="4">
        <f t="shared" si="17"/>
        <v>0</v>
      </c>
      <c r="V15" s="4">
        <f t="shared" si="18"/>
        <v>3</v>
      </c>
      <c r="W15" s="4">
        <f t="shared" si="19"/>
        <v>0</v>
      </c>
      <c r="X15" s="4">
        <f t="shared" si="20"/>
        <v>0</v>
      </c>
      <c r="Y15" s="4">
        <f t="shared" si="21"/>
        <v>0</v>
      </c>
      <c r="Z15" s="4">
        <f t="shared" si="22"/>
        <v>0</v>
      </c>
      <c r="AA15" s="4">
        <f t="shared" si="23"/>
        <v>0</v>
      </c>
      <c r="AB15" s="4">
        <f t="shared" si="24"/>
        <v>0</v>
      </c>
      <c r="AC15" s="4">
        <f t="shared" si="25"/>
        <v>0</v>
      </c>
    </row>
    <row r="16" spans="1:46">
      <c r="A16" s="4">
        <f>DUT!T17</f>
        <v>5.9080000000000013</v>
      </c>
      <c r="B16" s="4">
        <f t="shared" si="10"/>
        <v>0</v>
      </c>
      <c r="C16" s="4">
        <f t="shared" si="11"/>
        <v>0</v>
      </c>
      <c r="D16" s="4">
        <f t="shared" si="12"/>
        <v>3</v>
      </c>
      <c r="E16" s="4">
        <f t="shared" si="0"/>
        <v>0</v>
      </c>
      <c r="F16" s="4">
        <f t="shared" si="1"/>
        <v>0</v>
      </c>
      <c r="G16" s="4">
        <f t="shared" si="2"/>
        <v>3</v>
      </c>
      <c r="H16" s="4">
        <f t="shared" si="3"/>
        <v>0</v>
      </c>
      <c r="I16" s="4">
        <f t="shared" si="4"/>
        <v>0</v>
      </c>
      <c r="J16" s="4">
        <f t="shared" si="5"/>
        <v>0</v>
      </c>
      <c r="K16" s="4">
        <f t="shared" si="6"/>
        <v>0</v>
      </c>
      <c r="L16" s="4">
        <f t="shared" si="7"/>
        <v>0</v>
      </c>
      <c r="M16" s="4">
        <f t="shared" si="8"/>
        <v>0</v>
      </c>
      <c r="N16" s="4">
        <f t="shared" si="9"/>
        <v>0</v>
      </c>
      <c r="P16" s="4">
        <f>DUT!U17</f>
        <v>5.9080000000000013</v>
      </c>
      <c r="Q16" s="4">
        <f t="shared" si="13"/>
        <v>0</v>
      </c>
      <c r="R16" s="4">
        <f t="shared" si="14"/>
        <v>0</v>
      </c>
      <c r="S16" s="4">
        <f t="shared" si="15"/>
        <v>3</v>
      </c>
      <c r="T16" s="4">
        <f t="shared" si="16"/>
        <v>0</v>
      </c>
      <c r="U16" s="4">
        <f t="shared" si="17"/>
        <v>0</v>
      </c>
      <c r="V16" s="4">
        <f t="shared" si="18"/>
        <v>3</v>
      </c>
      <c r="W16" s="4">
        <f t="shared" si="19"/>
        <v>0</v>
      </c>
      <c r="X16" s="4">
        <f t="shared" si="20"/>
        <v>0</v>
      </c>
      <c r="Y16" s="4">
        <f t="shared" si="21"/>
        <v>0</v>
      </c>
      <c r="Z16" s="4">
        <f t="shared" si="22"/>
        <v>0</v>
      </c>
      <c r="AA16" s="4">
        <f t="shared" si="23"/>
        <v>0</v>
      </c>
      <c r="AB16" s="4">
        <f t="shared" si="24"/>
        <v>0</v>
      </c>
      <c r="AC16" s="4">
        <f t="shared" si="25"/>
        <v>0</v>
      </c>
    </row>
    <row r="17" spans="1:29">
      <c r="A17" s="4">
        <f>DUT!T18</f>
        <v>6.4360000000000017</v>
      </c>
      <c r="B17" s="4">
        <f t="shared" si="10"/>
        <v>0</v>
      </c>
      <c r="C17" s="4">
        <f t="shared" si="11"/>
        <v>0</v>
      </c>
      <c r="D17" s="4">
        <f t="shared" si="12"/>
        <v>3</v>
      </c>
      <c r="E17" s="4">
        <f t="shared" si="0"/>
        <v>0</v>
      </c>
      <c r="F17" s="4">
        <f t="shared" si="1"/>
        <v>0</v>
      </c>
      <c r="G17" s="4">
        <f t="shared" si="2"/>
        <v>3</v>
      </c>
      <c r="H17" s="4">
        <f t="shared" si="3"/>
        <v>0</v>
      </c>
      <c r="I17" s="4">
        <f t="shared" si="4"/>
        <v>0</v>
      </c>
      <c r="J17" s="4">
        <f t="shared" si="5"/>
        <v>0</v>
      </c>
      <c r="K17" s="4">
        <f t="shared" si="6"/>
        <v>0</v>
      </c>
      <c r="L17" s="4">
        <f t="shared" si="7"/>
        <v>0</v>
      </c>
      <c r="M17" s="4">
        <f t="shared" si="8"/>
        <v>0</v>
      </c>
      <c r="N17" s="4">
        <f t="shared" si="9"/>
        <v>0</v>
      </c>
      <c r="P17" s="4">
        <f>DUT!U18</f>
        <v>6.4360000000000017</v>
      </c>
      <c r="Q17" s="4">
        <f t="shared" si="13"/>
        <v>0</v>
      </c>
      <c r="R17" s="4">
        <f t="shared" si="14"/>
        <v>0</v>
      </c>
      <c r="S17" s="4">
        <f t="shared" si="15"/>
        <v>3</v>
      </c>
      <c r="T17" s="4">
        <f t="shared" si="16"/>
        <v>0</v>
      </c>
      <c r="U17" s="4">
        <f t="shared" si="17"/>
        <v>0</v>
      </c>
      <c r="V17" s="4">
        <f t="shared" si="18"/>
        <v>3</v>
      </c>
      <c r="W17" s="4">
        <f t="shared" si="19"/>
        <v>0</v>
      </c>
      <c r="X17" s="4">
        <f t="shared" si="20"/>
        <v>0</v>
      </c>
      <c r="Y17" s="4">
        <f t="shared" si="21"/>
        <v>0</v>
      </c>
      <c r="Z17" s="4">
        <f t="shared" si="22"/>
        <v>0</v>
      </c>
      <c r="AA17" s="4">
        <f t="shared" si="23"/>
        <v>0</v>
      </c>
      <c r="AB17" s="4">
        <f t="shared" si="24"/>
        <v>0</v>
      </c>
      <c r="AC17" s="4">
        <f t="shared" si="25"/>
        <v>0</v>
      </c>
    </row>
    <row r="18" spans="1:29">
      <c r="A18" s="4">
        <f>DUT!T19</f>
        <v>6.9640000000000022</v>
      </c>
      <c r="B18" s="4">
        <f t="shared" si="10"/>
        <v>0</v>
      </c>
      <c r="C18" s="4">
        <f t="shared" si="11"/>
        <v>0</v>
      </c>
      <c r="D18" s="4">
        <f t="shared" si="12"/>
        <v>3</v>
      </c>
      <c r="E18" s="4">
        <f t="shared" si="0"/>
        <v>0</v>
      </c>
      <c r="F18" s="4">
        <f t="shared" si="1"/>
        <v>0</v>
      </c>
      <c r="G18" s="4">
        <f t="shared" si="2"/>
        <v>3</v>
      </c>
      <c r="H18" s="4">
        <f t="shared" si="3"/>
        <v>0</v>
      </c>
      <c r="I18" s="4">
        <f t="shared" si="4"/>
        <v>0</v>
      </c>
      <c r="J18" s="4">
        <f t="shared" si="5"/>
        <v>0</v>
      </c>
      <c r="K18" s="4">
        <f t="shared" si="6"/>
        <v>0</v>
      </c>
      <c r="L18" s="4">
        <f t="shared" si="7"/>
        <v>0</v>
      </c>
      <c r="M18" s="4">
        <f t="shared" si="8"/>
        <v>0</v>
      </c>
      <c r="N18" s="4">
        <f t="shared" si="9"/>
        <v>0</v>
      </c>
      <c r="P18" s="4">
        <f>DUT!U19</f>
        <v>6.9640000000000022</v>
      </c>
      <c r="Q18" s="4">
        <f t="shared" si="13"/>
        <v>0</v>
      </c>
      <c r="R18" s="4">
        <f t="shared" si="14"/>
        <v>0</v>
      </c>
      <c r="S18" s="4">
        <f t="shared" si="15"/>
        <v>3</v>
      </c>
      <c r="T18" s="4">
        <f t="shared" si="16"/>
        <v>0</v>
      </c>
      <c r="U18" s="4">
        <f t="shared" si="17"/>
        <v>0</v>
      </c>
      <c r="V18" s="4">
        <f t="shared" si="18"/>
        <v>3</v>
      </c>
      <c r="W18" s="4">
        <f t="shared" si="19"/>
        <v>0</v>
      </c>
      <c r="X18" s="4">
        <f t="shared" si="20"/>
        <v>0</v>
      </c>
      <c r="Y18" s="4">
        <f t="shared" si="21"/>
        <v>0</v>
      </c>
      <c r="Z18" s="4">
        <f t="shared" si="22"/>
        <v>0</v>
      </c>
      <c r="AA18" s="4">
        <f t="shared" si="23"/>
        <v>0</v>
      </c>
      <c r="AB18" s="4">
        <f t="shared" si="24"/>
        <v>0</v>
      </c>
      <c r="AC18" s="4">
        <f t="shared" si="25"/>
        <v>0</v>
      </c>
    </row>
    <row r="19" spans="1:29">
      <c r="A19" s="4">
        <f>DUT!T20</f>
        <v>7.4920000000000027</v>
      </c>
      <c r="B19" s="4">
        <f t="shared" si="10"/>
        <v>0</v>
      </c>
      <c r="C19" s="4">
        <f t="shared" si="11"/>
        <v>0</v>
      </c>
      <c r="D19" s="4">
        <f t="shared" si="12"/>
        <v>3</v>
      </c>
      <c r="E19" s="4">
        <f t="shared" si="0"/>
        <v>0</v>
      </c>
      <c r="F19" s="4">
        <f t="shared" si="1"/>
        <v>0</v>
      </c>
      <c r="G19" s="4">
        <f t="shared" si="2"/>
        <v>3</v>
      </c>
      <c r="H19" s="4">
        <f t="shared" si="3"/>
        <v>0</v>
      </c>
      <c r="I19" s="4">
        <f t="shared" si="4"/>
        <v>0</v>
      </c>
      <c r="J19" s="4">
        <f t="shared" si="5"/>
        <v>0</v>
      </c>
      <c r="K19" s="4">
        <f t="shared" si="6"/>
        <v>0</v>
      </c>
      <c r="L19" s="4">
        <f t="shared" si="7"/>
        <v>0</v>
      </c>
      <c r="M19" s="4">
        <f t="shared" si="8"/>
        <v>0</v>
      </c>
      <c r="N19" s="4">
        <f t="shared" si="9"/>
        <v>0</v>
      </c>
      <c r="P19" s="4">
        <f>DUT!U20</f>
        <v>7.4920000000000027</v>
      </c>
      <c r="Q19" s="4">
        <f t="shared" si="13"/>
        <v>0</v>
      </c>
      <c r="R19" s="4">
        <f t="shared" si="14"/>
        <v>0</v>
      </c>
      <c r="S19" s="4">
        <f t="shared" si="15"/>
        <v>3</v>
      </c>
      <c r="T19" s="4">
        <f t="shared" si="16"/>
        <v>0</v>
      </c>
      <c r="U19" s="4">
        <f t="shared" si="17"/>
        <v>0</v>
      </c>
      <c r="V19" s="4">
        <f t="shared" si="18"/>
        <v>3</v>
      </c>
      <c r="W19" s="4">
        <f t="shared" si="19"/>
        <v>0</v>
      </c>
      <c r="X19" s="4">
        <f t="shared" si="20"/>
        <v>0</v>
      </c>
      <c r="Y19" s="4">
        <f t="shared" si="21"/>
        <v>0</v>
      </c>
      <c r="Z19" s="4">
        <f t="shared" si="22"/>
        <v>0</v>
      </c>
      <c r="AA19" s="4">
        <f t="shared" si="23"/>
        <v>0</v>
      </c>
      <c r="AB19" s="4">
        <f t="shared" si="24"/>
        <v>0</v>
      </c>
      <c r="AC19" s="4">
        <f t="shared" si="25"/>
        <v>0</v>
      </c>
    </row>
    <row r="20" spans="1:29">
      <c r="A20" s="4">
        <f>DUT!T21</f>
        <v>8.0200000000000031</v>
      </c>
      <c r="B20" s="4">
        <f t="shared" si="10"/>
        <v>0</v>
      </c>
      <c r="C20" s="4">
        <f t="shared" si="11"/>
        <v>0</v>
      </c>
      <c r="D20" s="4">
        <f t="shared" si="12"/>
        <v>3</v>
      </c>
      <c r="E20" s="4">
        <f t="shared" si="0"/>
        <v>0</v>
      </c>
      <c r="F20" s="4">
        <f t="shared" si="1"/>
        <v>0</v>
      </c>
      <c r="G20" s="4">
        <f t="shared" si="2"/>
        <v>3</v>
      </c>
      <c r="H20" s="4">
        <f t="shared" si="3"/>
        <v>0</v>
      </c>
      <c r="I20" s="4">
        <f t="shared" si="4"/>
        <v>0</v>
      </c>
      <c r="J20" s="4">
        <f t="shared" si="5"/>
        <v>0</v>
      </c>
      <c r="K20" s="4">
        <f t="shared" si="6"/>
        <v>0</v>
      </c>
      <c r="L20" s="4">
        <f t="shared" si="7"/>
        <v>0</v>
      </c>
      <c r="M20" s="4">
        <f t="shared" si="8"/>
        <v>0</v>
      </c>
      <c r="N20" s="4">
        <f t="shared" si="9"/>
        <v>0</v>
      </c>
      <c r="P20" s="4">
        <f>DUT!U21</f>
        <v>8.0200000000000031</v>
      </c>
      <c r="Q20" s="4">
        <f t="shared" si="13"/>
        <v>0</v>
      </c>
      <c r="R20" s="4">
        <f t="shared" si="14"/>
        <v>0</v>
      </c>
      <c r="S20" s="4">
        <f t="shared" si="15"/>
        <v>3</v>
      </c>
      <c r="T20" s="4">
        <f t="shared" si="16"/>
        <v>0</v>
      </c>
      <c r="U20" s="4">
        <f t="shared" si="17"/>
        <v>0</v>
      </c>
      <c r="V20" s="4">
        <f t="shared" si="18"/>
        <v>3</v>
      </c>
      <c r="W20" s="4">
        <f t="shared" si="19"/>
        <v>0</v>
      </c>
      <c r="X20" s="4">
        <f t="shared" si="20"/>
        <v>0</v>
      </c>
      <c r="Y20" s="4">
        <f t="shared" si="21"/>
        <v>0</v>
      </c>
      <c r="Z20" s="4">
        <f t="shared" si="22"/>
        <v>0</v>
      </c>
      <c r="AA20" s="4">
        <f t="shared" si="23"/>
        <v>0</v>
      </c>
      <c r="AB20" s="4">
        <f t="shared" si="24"/>
        <v>0</v>
      </c>
      <c r="AC20" s="4">
        <f t="shared" si="25"/>
        <v>0</v>
      </c>
    </row>
    <row r="21" spans="1:29">
      <c r="A21" s="4">
        <f>DUT!T22</f>
        <v>8.5480000000000036</v>
      </c>
      <c r="B21" s="4">
        <f t="shared" si="10"/>
        <v>0</v>
      </c>
      <c r="C21" s="4">
        <f t="shared" si="11"/>
        <v>0</v>
      </c>
      <c r="D21" s="4">
        <f t="shared" si="12"/>
        <v>3</v>
      </c>
      <c r="E21" s="4">
        <f t="shared" si="0"/>
        <v>0</v>
      </c>
      <c r="F21" s="4">
        <f t="shared" si="1"/>
        <v>0</v>
      </c>
      <c r="G21" s="4">
        <f t="shared" si="2"/>
        <v>3</v>
      </c>
      <c r="H21" s="4">
        <f t="shared" si="3"/>
        <v>0</v>
      </c>
      <c r="I21" s="4">
        <f t="shared" si="4"/>
        <v>0</v>
      </c>
      <c r="J21" s="4">
        <f t="shared" si="5"/>
        <v>0</v>
      </c>
      <c r="K21" s="4">
        <f t="shared" si="6"/>
        <v>0</v>
      </c>
      <c r="L21" s="4">
        <f t="shared" si="7"/>
        <v>0</v>
      </c>
      <c r="M21" s="4">
        <f t="shared" si="8"/>
        <v>0</v>
      </c>
      <c r="N21" s="4">
        <f t="shared" si="9"/>
        <v>0</v>
      </c>
      <c r="P21" s="4">
        <f>DUT!U22</f>
        <v>8.5480000000000036</v>
      </c>
      <c r="Q21" s="4">
        <f t="shared" si="13"/>
        <v>0</v>
      </c>
      <c r="R21" s="4">
        <f t="shared" si="14"/>
        <v>0</v>
      </c>
      <c r="S21" s="4">
        <f t="shared" si="15"/>
        <v>3</v>
      </c>
      <c r="T21" s="4">
        <f t="shared" si="16"/>
        <v>0</v>
      </c>
      <c r="U21" s="4">
        <f t="shared" si="17"/>
        <v>0</v>
      </c>
      <c r="V21" s="4">
        <f t="shared" si="18"/>
        <v>3</v>
      </c>
      <c r="W21" s="4">
        <f t="shared" si="19"/>
        <v>0</v>
      </c>
      <c r="X21" s="4">
        <f t="shared" si="20"/>
        <v>0</v>
      </c>
      <c r="Y21" s="4">
        <f t="shared" si="21"/>
        <v>0</v>
      </c>
      <c r="Z21" s="4">
        <f t="shared" si="22"/>
        <v>0</v>
      </c>
      <c r="AA21" s="4">
        <f t="shared" si="23"/>
        <v>0</v>
      </c>
      <c r="AB21" s="4">
        <f t="shared" si="24"/>
        <v>0</v>
      </c>
      <c r="AC21" s="4">
        <f t="shared" si="25"/>
        <v>0</v>
      </c>
    </row>
    <row r="22" spans="1:29">
      <c r="A22" s="4">
        <f>DUT!T23</f>
        <v>9.0760000000000041</v>
      </c>
      <c r="B22" s="4">
        <f t="shared" si="10"/>
        <v>0</v>
      </c>
      <c r="C22" s="4">
        <f t="shared" si="11"/>
        <v>0</v>
      </c>
      <c r="D22" s="4">
        <f t="shared" si="12"/>
        <v>3</v>
      </c>
      <c r="E22" s="4">
        <f t="shared" si="0"/>
        <v>0</v>
      </c>
      <c r="F22" s="4">
        <f t="shared" si="1"/>
        <v>0</v>
      </c>
      <c r="G22" s="4">
        <f t="shared" si="2"/>
        <v>3</v>
      </c>
      <c r="H22" s="4">
        <f t="shared" si="3"/>
        <v>0</v>
      </c>
      <c r="I22" s="4">
        <f t="shared" si="4"/>
        <v>0</v>
      </c>
      <c r="J22" s="4">
        <f t="shared" si="5"/>
        <v>0</v>
      </c>
      <c r="K22" s="4">
        <f t="shared" si="6"/>
        <v>0</v>
      </c>
      <c r="L22" s="4">
        <f t="shared" si="7"/>
        <v>0</v>
      </c>
      <c r="M22" s="4">
        <f t="shared" si="8"/>
        <v>0</v>
      </c>
      <c r="N22" s="4">
        <f t="shared" si="9"/>
        <v>0</v>
      </c>
      <c r="P22" s="4">
        <f>DUT!U23</f>
        <v>9.0760000000000041</v>
      </c>
      <c r="Q22" s="4">
        <f t="shared" si="13"/>
        <v>0</v>
      </c>
      <c r="R22" s="4">
        <f t="shared" si="14"/>
        <v>0</v>
      </c>
      <c r="S22" s="4">
        <f t="shared" si="15"/>
        <v>3</v>
      </c>
      <c r="T22" s="4">
        <f t="shared" si="16"/>
        <v>0</v>
      </c>
      <c r="U22" s="4">
        <f t="shared" si="17"/>
        <v>0</v>
      </c>
      <c r="V22" s="4">
        <f t="shared" si="18"/>
        <v>3</v>
      </c>
      <c r="W22" s="4">
        <f t="shared" si="19"/>
        <v>0</v>
      </c>
      <c r="X22" s="4">
        <f t="shared" si="20"/>
        <v>0</v>
      </c>
      <c r="Y22" s="4">
        <f t="shared" si="21"/>
        <v>0</v>
      </c>
      <c r="Z22" s="4">
        <f t="shared" si="22"/>
        <v>0</v>
      </c>
      <c r="AA22" s="4">
        <f t="shared" si="23"/>
        <v>0</v>
      </c>
      <c r="AB22" s="4">
        <f t="shared" si="24"/>
        <v>0</v>
      </c>
      <c r="AC22" s="4">
        <f t="shared" si="25"/>
        <v>0</v>
      </c>
    </row>
    <row r="23" spans="1:29">
      <c r="A23" s="4">
        <f>DUT!T24</f>
        <v>9.6040000000000045</v>
      </c>
      <c r="B23" s="4">
        <f t="shared" si="10"/>
        <v>0</v>
      </c>
      <c r="C23" s="4">
        <f t="shared" si="11"/>
        <v>0</v>
      </c>
      <c r="D23" s="4">
        <f t="shared" si="12"/>
        <v>3</v>
      </c>
      <c r="E23" s="4">
        <f t="shared" si="0"/>
        <v>0</v>
      </c>
      <c r="F23" s="4">
        <f t="shared" si="1"/>
        <v>0</v>
      </c>
      <c r="G23" s="4">
        <f t="shared" si="2"/>
        <v>3</v>
      </c>
      <c r="H23" s="4">
        <f t="shared" si="3"/>
        <v>0</v>
      </c>
      <c r="I23" s="4">
        <f t="shared" si="4"/>
        <v>0</v>
      </c>
      <c r="J23" s="4">
        <f t="shared" si="5"/>
        <v>0</v>
      </c>
      <c r="K23" s="4">
        <f t="shared" si="6"/>
        <v>0</v>
      </c>
      <c r="L23" s="4">
        <f t="shared" si="7"/>
        <v>0</v>
      </c>
      <c r="M23" s="4">
        <f t="shared" si="8"/>
        <v>0</v>
      </c>
      <c r="N23" s="4">
        <f t="shared" si="9"/>
        <v>0</v>
      </c>
      <c r="P23" s="4">
        <f>DUT!U24</f>
        <v>9.6040000000000045</v>
      </c>
      <c r="Q23" s="4">
        <f t="shared" si="13"/>
        <v>0</v>
      </c>
      <c r="R23" s="4">
        <f t="shared" si="14"/>
        <v>0</v>
      </c>
      <c r="S23" s="4">
        <f t="shared" si="15"/>
        <v>3</v>
      </c>
      <c r="T23" s="4">
        <f t="shared" si="16"/>
        <v>0</v>
      </c>
      <c r="U23" s="4">
        <f t="shared" si="17"/>
        <v>0</v>
      </c>
      <c r="V23" s="4">
        <f t="shared" si="18"/>
        <v>3</v>
      </c>
      <c r="W23" s="4">
        <f t="shared" si="19"/>
        <v>0</v>
      </c>
      <c r="X23" s="4">
        <f t="shared" si="20"/>
        <v>0</v>
      </c>
      <c r="Y23" s="4">
        <f t="shared" si="21"/>
        <v>0</v>
      </c>
      <c r="Z23" s="4">
        <f t="shared" si="22"/>
        <v>0</v>
      </c>
      <c r="AA23" s="4">
        <f t="shared" si="23"/>
        <v>0</v>
      </c>
      <c r="AB23" s="4">
        <f t="shared" si="24"/>
        <v>0</v>
      </c>
      <c r="AC23" s="4">
        <f t="shared" si="25"/>
        <v>0</v>
      </c>
    </row>
    <row r="24" spans="1:29">
      <c r="A24" s="4">
        <f>DUT!T25</f>
        <v>10.132000000000005</v>
      </c>
      <c r="B24" s="4">
        <f t="shared" si="10"/>
        <v>0</v>
      </c>
      <c r="C24" s="4">
        <f t="shared" si="11"/>
        <v>0</v>
      </c>
      <c r="D24" s="4">
        <f t="shared" si="12"/>
        <v>3</v>
      </c>
      <c r="E24" s="4">
        <f t="shared" si="0"/>
        <v>0</v>
      </c>
      <c r="F24" s="4">
        <f t="shared" si="1"/>
        <v>0</v>
      </c>
      <c r="G24" s="4">
        <f t="shared" si="2"/>
        <v>3</v>
      </c>
      <c r="H24" s="4">
        <f t="shared" si="3"/>
        <v>0</v>
      </c>
      <c r="I24" s="4">
        <f t="shared" si="4"/>
        <v>0</v>
      </c>
      <c r="J24" s="4">
        <f t="shared" si="5"/>
        <v>0</v>
      </c>
      <c r="K24" s="4">
        <f t="shared" si="6"/>
        <v>0</v>
      </c>
      <c r="L24" s="4">
        <f t="shared" si="7"/>
        <v>0</v>
      </c>
      <c r="M24" s="4">
        <f t="shared" si="8"/>
        <v>0</v>
      </c>
      <c r="N24" s="4">
        <f t="shared" si="9"/>
        <v>0</v>
      </c>
      <c r="P24" s="4">
        <f>DUT!U25</f>
        <v>10.132000000000005</v>
      </c>
      <c r="Q24" s="4">
        <f t="shared" si="13"/>
        <v>0</v>
      </c>
      <c r="R24" s="4">
        <f t="shared" si="14"/>
        <v>0</v>
      </c>
      <c r="S24" s="4">
        <f t="shared" si="15"/>
        <v>3</v>
      </c>
      <c r="T24" s="4">
        <f t="shared" si="16"/>
        <v>0</v>
      </c>
      <c r="U24" s="4">
        <f t="shared" si="17"/>
        <v>0</v>
      </c>
      <c r="V24" s="4">
        <f t="shared" si="18"/>
        <v>3</v>
      </c>
      <c r="W24" s="4">
        <f t="shared" si="19"/>
        <v>0</v>
      </c>
      <c r="X24" s="4">
        <f t="shared" si="20"/>
        <v>0</v>
      </c>
      <c r="Y24" s="4">
        <f t="shared" si="21"/>
        <v>0</v>
      </c>
      <c r="Z24" s="4">
        <f t="shared" si="22"/>
        <v>0</v>
      </c>
      <c r="AA24" s="4">
        <f t="shared" si="23"/>
        <v>0</v>
      </c>
      <c r="AB24" s="4">
        <f t="shared" si="24"/>
        <v>0</v>
      </c>
      <c r="AC24" s="4">
        <f t="shared" si="25"/>
        <v>0</v>
      </c>
    </row>
    <row r="25" spans="1:29">
      <c r="A25" s="4">
        <f>DUT!T26</f>
        <v>10.660000000000005</v>
      </c>
      <c r="B25" s="4">
        <f t="shared" si="10"/>
        <v>0</v>
      </c>
      <c r="C25" s="4">
        <f t="shared" si="11"/>
        <v>0</v>
      </c>
      <c r="D25" s="4">
        <f t="shared" si="12"/>
        <v>3</v>
      </c>
      <c r="E25" s="4">
        <f t="shared" si="0"/>
        <v>0</v>
      </c>
      <c r="F25" s="4">
        <f t="shared" si="1"/>
        <v>0</v>
      </c>
      <c r="G25" s="4">
        <f t="shared" si="2"/>
        <v>3</v>
      </c>
      <c r="H25" s="4">
        <f t="shared" si="3"/>
        <v>0</v>
      </c>
      <c r="I25" s="4">
        <f t="shared" si="4"/>
        <v>0</v>
      </c>
      <c r="J25" s="4">
        <f t="shared" si="5"/>
        <v>0</v>
      </c>
      <c r="K25" s="4">
        <f t="shared" si="6"/>
        <v>0</v>
      </c>
      <c r="L25" s="4">
        <f t="shared" si="7"/>
        <v>0</v>
      </c>
      <c r="M25" s="4">
        <f t="shared" si="8"/>
        <v>0</v>
      </c>
      <c r="N25" s="4">
        <f t="shared" si="9"/>
        <v>0</v>
      </c>
      <c r="P25" s="4">
        <f>DUT!U26</f>
        <v>10.660000000000005</v>
      </c>
      <c r="Q25" s="4">
        <f t="shared" si="13"/>
        <v>0</v>
      </c>
      <c r="R25" s="4">
        <f t="shared" si="14"/>
        <v>0</v>
      </c>
      <c r="S25" s="4">
        <f t="shared" si="15"/>
        <v>3</v>
      </c>
      <c r="T25" s="4">
        <f t="shared" si="16"/>
        <v>0</v>
      </c>
      <c r="U25" s="4">
        <f t="shared" si="17"/>
        <v>0</v>
      </c>
      <c r="V25" s="4">
        <f t="shared" si="18"/>
        <v>3</v>
      </c>
      <c r="W25" s="4">
        <f t="shared" si="19"/>
        <v>0</v>
      </c>
      <c r="X25" s="4">
        <f t="shared" si="20"/>
        <v>0</v>
      </c>
      <c r="Y25" s="4">
        <f t="shared" si="21"/>
        <v>0</v>
      </c>
      <c r="Z25" s="4">
        <f t="shared" si="22"/>
        <v>0</v>
      </c>
      <c r="AA25" s="4">
        <f t="shared" si="23"/>
        <v>0</v>
      </c>
      <c r="AB25" s="4">
        <f t="shared" si="24"/>
        <v>0</v>
      </c>
      <c r="AC25" s="4">
        <f t="shared" si="25"/>
        <v>0</v>
      </c>
    </row>
    <row r="26" spans="1:29">
      <c r="A26" s="4">
        <f>DUT!T27</f>
        <v>11.188000000000006</v>
      </c>
      <c r="B26" s="4">
        <f t="shared" si="10"/>
        <v>0</v>
      </c>
      <c r="C26" s="4">
        <f t="shared" si="11"/>
        <v>0</v>
      </c>
      <c r="D26" s="4">
        <f t="shared" si="12"/>
        <v>3</v>
      </c>
      <c r="E26" s="4">
        <f t="shared" si="0"/>
        <v>0</v>
      </c>
      <c r="F26" s="4">
        <f t="shared" si="1"/>
        <v>0</v>
      </c>
      <c r="G26" s="4">
        <f t="shared" si="2"/>
        <v>3</v>
      </c>
      <c r="H26" s="4">
        <f t="shared" si="3"/>
        <v>0</v>
      </c>
      <c r="I26" s="4">
        <f t="shared" si="4"/>
        <v>0</v>
      </c>
      <c r="J26" s="4">
        <f t="shared" si="5"/>
        <v>0</v>
      </c>
      <c r="K26" s="4">
        <f t="shared" si="6"/>
        <v>0</v>
      </c>
      <c r="L26" s="4">
        <f t="shared" si="7"/>
        <v>0</v>
      </c>
      <c r="M26" s="4">
        <f t="shared" si="8"/>
        <v>0</v>
      </c>
      <c r="N26" s="4">
        <f t="shared" si="9"/>
        <v>0</v>
      </c>
      <c r="P26" s="4">
        <f>DUT!U27</f>
        <v>11.188000000000006</v>
      </c>
      <c r="Q26" s="4">
        <f t="shared" si="13"/>
        <v>0</v>
      </c>
      <c r="R26" s="4">
        <f t="shared" si="14"/>
        <v>0</v>
      </c>
      <c r="S26" s="4">
        <f t="shared" si="15"/>
        <v>3</v>
      </c>
      <c r="T26" s="4">
        <f t="shared" si="16"/>
        <v>0</v>
      </c>
      <c r="U26" s="4">
        <f t="shared" si="17"/>
        <v>0</v>
      </c>
      <c r="V26" s="4">
        <f t="shared" si="18"/>
        <v>3</v>
      </c>
      <c r="W26" s="4">
        <f t="shared" si="19"/>
        <v>0</v>
      </c>
      <c r="X26" s="4">
        <f t="shared" si="20"/>
        <v>0</v>
      </c>
      <c r="Y26" s="4">
        <f t="shared" si="21"/>
        <v>0</v>
      </c>
      <c r="Z26" s="4">
        <f t="shared" si="22"/>
        <v>0</v>
      </c>
      <c r="AA26" s="4">
        <f t="shared" si="23"/>
        <v>0</v>
      </c>
      <c r="AB26" s="4">
        <f t="shared" si="24"/>
        <v>0</v>
      </c>
      <c r="AC26" s="4">
        <f t="shared" si="25"/>
        <v>0</v>
      </c>
    </row>
    <row r="27" spans="1:29">
      <c r="A27" s="4">
        <f>DUT!T28</f>
        <v>11.716000000000006</v>
      </c>
      <c r="B27" s="4">
        <f t="shared" si="10"/>
        <v>0</v>
      </c>
      <c r="C27" s="4">
        <f t="shared" si="11"/>
        <v>0</v>
      </c>
      <c r="D27" s="4">
        <f t="shared" si="12"/>
        <v>3</v>
      </c>
      <c r="E27" s="4">
        <f t="shared" si="0"/>
        <v>0</v>
      </c>
      <c r="F27" s="4">
        <f t="shared" si="1"/>
        <v>0</v>
      </c>
      <c r="G27" s="4">
        <f t="shared" si="2"/>
        <v>3</v>
      </c>
      <c r="H27" s="4">
        <f t="shared" si="3"/>
        <v>0</v>
      </c>
      <c r="I27" s="4">
        <f t="shared" si="4"/>
        <v>0</v>
      </c>
      <c r="J27" s="4">
        <f t="shared" si="5"/>
        <v>0</v>
      </c>
      <c r="K27" s="4">
        <f t="shared" si="6"/>
        <v>0</v>
      </c>
      <c r="L27" s="4">
        <f t="shared" si="7"/>
        <v>0</v>
      </c>
      <c r="M27" s="4">
        <f t="shared" si="8"/>
        <v>0</v>
      </c>
      <c r="N27" s="4">
        <f t="shared" si="9"/>
        <v>0</v>
      </c>
      <c r="P27" s="4">
        <f>DUT!U28</f>
        <v>11.716000000000006</v>
      </c>
      <c r="Q27" s="4">
        <f t="shared" si="13"/>
        <v>0</v>
      </c>
      <c r="R27" s="4">
        <f t="shared" si="14"/>
        <v>0</v>
      </c>
      <c r="S27" s="4">
        <f t="shared" si="15"/>
        <v>3</v>
      </c>
      <c r="T27" s="4">
        <f t="shared" si="16"/>
        <v>0</v>
      </c>
      <c r="U27" s="4">
        <f t="shared" si="17"/>
        <v>0</v>
      </c>
      <c r="V27" s="4">
        <f t="shared" si="18"/>
        <v>3</v>
      </c>
      <c r="W27" s="4">
        <f t="shared" si="19"/>
        <v>0</v>
      </c>
      <c r="X27" s="4">
        <f t="shared" si="20"/>
        <v>0</v>
      </c>
      <c r="Y27" s="4">
        <f t="shared" si="21"/>
        <v>0</v>
      </c>
      <c r="Z27" s="4">
        <f t="shared" si="22"/>
        <v>0</v>
      </c>
      <c r="AA27" s="4">
        <f t="shared" si="23"/>
        <v>0</v>
      </c>
      <c r="AB27" s="4">
        <f t="shared" si="24"/>
        <v>0</v>
      </c>
      <c r="AC27" s="4">
        <f t="shared" si="25"/>
        <v>0</v>
      </c>
    </row>
    <row r="28" spans="1:29">
      <c r="A28" s="4">
        <f>DUT!T29</f>
        <v>12.244000000000007</v>
      </c>
      <c r="B28" s="4">
        <f t="shared" si="10"/>
        <v>0</v>
      </c>
      <c r="C28" s="4">
        <f t="shared" si="11"/>
        <v>0</v>
      </c>
      <c r="D28" s="4">
        <f t="shared" si="12"/>
        <v>3</v>
      </c>
      <c r="E28" s="4">
        <f t="shared" si="0"/>
        <v>0</v>
      </c>
      <c r="F28" s="4">
        <f t="shared" si="1"/>
        <v>0</v>
      </c>
      <c r="G28" s="4">
        <f t="shared" si="2"/>
        <v>3</v>
      </c>
      <c r="H28" s="4">
        <f t="shared" si="3"/>
        <v>0</v>
      </c>
      <c r="I28" s="4">
        <f t="shared" si="4"/>
        <v>0</v>
      </c>
      <c r="J28" s="4">
        <f t="shared" si="5"/>
        <v>0</v>
      </c>
      <c r="K28" s="4">
        <f t="shared" si="6"/>
        <v>0</v>
      </c>
      <c r="L28" s="4">
        <f t="shared" si="7"/>
        <v>0</v>
      </c>
      <c r="M28" s="4">
        <f t="shared" si="8"/>
        <v>0</v>
      </c>
      <c r="N28" s="4">
        <f t="shared" si="9"/>
        <v>0</v>
      </c>
      <c r="P28" s="4">
        <f>DUT!U29</f>
        <v>12.244000000000007</v>
      </c>
      <c r="Q28" s="4">
        <f t="shared" si="13"/>
        <v>0</v>
      </c>
      <c r="R28" s="4">
        <f t="shared" si="14"/>
        <v>0</v>
      </c>
      <c r="S28" s="4">
        <f t="shared" si="15"/>
        <v>3</v>
      </c>
      <c r="T28" s="4">
        <f t="shared" si="16"/>
        <v>0</v>
      </c>
      <c r="U28" s="4">
        <f t="shared" si="17"/>
        <v>0</v>
      </c>
      <c r="V28" s="4">
        <f t="shared" si="18"/>
        <v>3</v>
      </c>
      <c r="W28" s="4">
        <f t="shared" si="19"/>
        <v>0</v>
      </c>
      <c r="X28" s="4">
        <f t="shared" si="20"/>
        <v>0</v>
      </c>
      <c r="Y28" s="4">
        <f t="shared" si="21"/>
        <v>0</v>
      </c>
      <c r="Z28" s="4">
        <f t="shared" si="22"/>
        <v>0</v>
      </c>
      <c r="AA28" s="4">
        <f t="shared" si="23"/>
        <v>0</v>
      </c>
      <c r="AB28" s="4">
        <f t="shared" si="24"/>
        <v>0</v>
      </c>
      <c r="AC28" s="4">
        <f t="shared" si="25"/>
        <v>0</v>
      </c>
    </row>
    <row r="29" spans="1:29">
      <c r="A29" s="4">
        <f>DUT!T30</f>
        <v>12.772000000000007</v>
      </c>
      <c r="B29" s="4">
        <f t="shared" si="10"/>
        <v>0</v>
      </c>
      <c r="C29" s="4">
        <f t="shared" si="11"/>
        <v>0</v>
      </c>
      <c r="D29" s="4">
        <f t="shared" si="12"/>
        <v>3</v>
      </c>
      <c r="E29" s="4">
        <f t="shared" si="0"/>
        <v>0</v>
      </c>
      <c r="F29" s="4">
        <f t="shared" si="1"/>
        <v>0</v>
      </c>
      <c r="G29" s="4">
        <f t="shared" si="2"/>
        <v>3</v>
      </c>
      <c r="H29" s="4">
        <f t="shared" si="3"/>
        <v>0</v>
      </c>
      <c r="I29" s="4">
        <f t="shared" si="4"/>
        <v>0</v>
      </c>
      <c r="J29" s="4">
        <f t="shared" si="5"/>
        <v>0</v>
      </c>
      <c r="K29" s="4">
        <f t="shared" si="6"/>
        <v>0</v>
      </c>
      <c r="L29" s="4">
        <f t="shared" si="7"/>
        <v>0</v>
      </c>
      <c r="M29" s="4">
        <f t="shared" si="8"/>
        <v>0</v>
      </c>
      <c r="N29" s="4">
        <f t="shared" si="9"/>
        <v>0</v>
      </c>
      <c r="P29" s="4">
        <f>DUT!U30</f>
        <v>12.772000000000007</v>
      </c>
      <c r="Q29" s="4">
        <f t="shared" si="13"/>
        <v>0</v>
      </c>
      <c r="R29" s="4">
        <f t="shared" si="14"/>
        <v>0</v>
      </c>
      <c r="S29" s="4">
        <f t="shared" si="15"/>
        <v>3</v>
      </c>
      <c r="T29" s="4">
        <f t="shared" si="16"/>
        <v>0</v>
      </c>
      <c r="U29" s="4">
        <f t="shared" si="17"/>
        <v>0</v>
      </c>
      <c r="V29" s="4">
        <f t="shared" si="18"/>
        <v>3</v>
      </c>
      <c r="W29" s="4">
        <f t="shared" si="19"/>
        <v>0</v>
      </c>
      <c r="X29" s="4">
        <f t="shared" si="20"/>
        <v>0</v>
      </c>
      <c r="Y29" s="4">
        <f t="shared" si="21"/>
        <v>0</v>
      </c>
      <c r="Z29" s="4">
        <f t="shared" si="22"/>
        <v>0</v>
      </c>
      <c r="AA29" s="4">
        <f t="shared" si="23"/>
        <v>0</v>
      </c>
      <c r="AB29" s="4">
        <f t="shared" si="24"/>
        <v>0</v>
      </c>
      <c r="AC29" s="4">
        <f t="shared" si="25"/>
        <v>0</v>
      </c>
    </row>
    <row r="30" spans="1:29">
      <c r="A30" s="4">
        <f>DUT!T31</f>
        <v>13.300000000000008</v>
      </c>
      <c r="B30" s="4">
        <f t="shared" si="10"/>
        <v>0</v>
      </c>
      <c r="C30" s="4">
        <f t="shared" si="11"/>
        <v>0</v>
      </c>
      <c r="D30" s="4">
        <f t="shared" si="12"/>
        <v>3</v>
      </c>
      <c r="E30" s="4">
        <f t="shared" si="0"/>
        <v>0</v>
      </c>
      <c r="F30" s="4">
        <f t="shared" si="1"/>
        <v>0</v>
      </c>
      <c r="G30" s="4">
        <f t="shared" si="2"/>
        <v>3</v>
      </c>
      <c r="H30" s="4">
        <f t="shared" si="3"/>
        <v>0</v>
      </c>
      <c r="I30" s="4">
        <f t="shared" si="4"/>
        <v>0</v>
      </c>
      <c r="J30" s="4">
        <f t="shared" si="5"/>
        <v>0</v>
      </c>
      <c r="K30" s="4">
        <f t="shared" si="6"/>
        <v>0</v>
      </c>
      <c r="L30" s="4">
        <f t="shared" si="7"/>
        <v>0</v>
      </c>
      <c r="M30" s="4">
        <f t="shared" si="8"/>
        <v>0</v>
      </c>
      <c r="N30" s="4">
        <f t="shared" si="9"/>
        <v>0</v>
      </c>
      <c r="P30" s="4">
        <f>DUT!U31</f>
        <v>13.300000000000008</v>
      </c>
      <c r="Q30" s="4">
        <f t="shared" si="13"/>
        <v>0</v>
      </c>
      <c r="R30" s="4">
        <f t="shared" si="14"/>
        <v>0</v>
      </c>
      <c r="S30" s="4">
        <f t="shared" si="15"/>
        <v>3</v>
      </c>
      <c r="T30" s="4">
        <f t="shared" si="16"/>
        <v>0</v>
      </c>
      <c r="U30" s="4">
        <f t="shared" si="17"/>
        <v>0</v>
      </c>
      <c r="V30" s="4">
        <f t="shared" si="18"/>
        <v>3</v>
      </c>
      <c r="W30" s="4">
        <f t="shared" si="19"/>
        <v>0</v>
      </c>
      <c r="X30" s="4">
        <f t="shared" si="20"/>
        <v>0</v>
      </c>
      <c r="Y30" s="4">
        <f t="shared" si="21"/>
        <v>0</v>
      </c>
      <c r="Z30" s="4">
        <f t="shared" si="22"/>
        <v>0</v>
      </c>
      <c r="AA30" s="4">
        <f t="shared" si="23"/>
        <v>0</v>
      </c>
      <c r="AB30" s="4">
        <f t="shared" si="24"/>
        <v>0</v>
      </c>
      <c r="AC30" s="4">
        <f t="shared" si="25"/>
        <v>0</v>
      </c>
    </row>
    <row r="31" spans="1:29">
      <c r="A31" s="4">
        <f>DUT!T32</f>
        <v>13.828000000000008</v>
      </c>
      <c r="B31" s="4">
        <f t="shared" si="10"/>
        <v>0</v>
      </c>
      <c r="C31" s="4">
        <f t="shared" si="11"/>
        <v>0</v>
      </c>
      <c r="D31" s="4">
        <f t="shared" si="12"/>
        <v>3</v>
      </c>
      <c r="E31" s="4">
        <f t="shared" si="0"/>
        <v>0</v>
      </c>
      <c r="F31" s="4">
        <f t="shared" si="1"/>
        <v>0</v>
      </c>
      <c r="G31" s="4">
        <f t="shared" si="2"/>
        <v>3</v>
      </c>
      <c r="H31" s="4">
        <f t="shared" si="3"/>
        <v>0</v>
      </c>
      <c r="I31" s="4">
        <f t="shared" si="4"/>
        <v>0</v>
      </c>
      <c r="J31" s="4">
        <f t="shared" si="5"/>
        <v>0</v>
      </c>
      <c r="K31" s="4">
        <f t="shared" si="6"/>
        <v>0</v>
      </c>
      <c r="L31" s="4">
        <f t="shared" si="7"/>
        <v>0</v>
      </c>
      <c r="M31" s="4">
        <f t="shared" si="8"/>
        <v>0</v>
      </c>
      <c r="N31" s="4">
        <f t="shared" si="9"/>
        <v>0</v>
      </c>
      <c r="P31" s="4">
        <f>DUT!U32</f>
        <v>13.828000000000008</v>
      </c>
      <c r="Q31" s="4">
        <f t="shared" si="13"/>
        <v>0</v>
      </c>
      <c r="R31" s="4">
        <f t="shared" si="14"/>
        <v>0</v>
      </c>
      <c r="S31" s="4">
        <f t="shared" si="15"/>
        <v>3</v>
      </c>
      <c r="T31" s="4">
        <f t="shared" si="16"/>
        <v>0</v>
      </c>
      <c r="U31" s="4">
        <f t="shared" si="17"/>
        <v>0</v>
      </c>
      <c r="V31" s="4">
        <f t="shared" si="18"/>
        <v>3</v>
      </c>
      <c r="W31" s="4">
        <f t="shared" si="19"/>
        <v>0</v>
      </c>
      <c r="X31" s="4">
        <f t="shared" si="20"/>
        <v>0</v>
      </c>
      <c r="Y31" s="4">
        <f t="shared" si="21"/>
        <v>0</v>
      </c>
      <c r="Z31" s="4">
        <f t="shared" si="22"/>
        <v>0</v>
      </c>
      <c r="AA31" s="4">
        <f t="shared" si="23"/>
        <v>0</v>
      </c>
      <c r="AB31" s="4">
        <f t="shared" si="24"/>
        <v>0</v>
      </c>
      <c r="AC31" s="4">
        <f t="shared" si="25"/>
        <v>0</v>
      </c>
    </row>
    <row r="32" spans="1:29">
      <c r="A32" s="4">
        <f>DUT!T33</f>
        <v>14.356000000000009</v>
      </c>
      <c r="B32" s="4">
        <f t="shared" si="10"/>
        <v>0</v>
      </c>
      <c r="C32" s="4">
        <f t="shared" si="11"/>
        <v>0</v>
      </c>
      <c r="D32" s="4">
        <f t="shared" si="12"/>
        <v>3</v>
      </c>
      <c r="E32" s="4">
        <f t="shared" si="0"/>
        <v>0</v>
      </c>
      <c r="F32" s="4">
        <f t="shared" si="1"/>
        <v>0</v>
      </c>
      <c r="G32" s="4">
        <f t="shared" si="2"/>
        <v>3</v>
      </c>
      <c r="H32" s="4">
        <f t="shared" si="3"/>
        <v>0</v>
      </c>
      <c r="I32" s="4">
        <f t="shared" si="4"/>
        <v>0</v>
      </c>
      <c r="J32" s="4">
        <f t="shared" si="5"/>
        <v>0</v>
      </c>
      <c r="K32" s="4">
        <f t="shared" si="6"/>
        <v>0</v>
      </c>
      <c r="L32" s="4">
        <f t="shared" si="7"/>
        <v>0</v>
      </c>
      <c r="M32" s="4">
        <f t="shared" si="8"/>
        <v>0</v>
      </c>
      <c r="N32" s="4">
        <f t="shared" si="9"/>
        <v>0</v>
      </c>
      <c r="P32" s="4">
        <f>DUT!U33</f>
        <v>14.356000000000009</v>
      </c>
      <c r="Q32" s="4">
        <f t="shared" si="13"/>
        <v>0</v>
      </c>
      <c r="R32" s="4">
        <f t="shared" si="14"/>
        <v>0</v>
      </c>
      <c r="S32" s="4">
        <f t="shared" si="15"/>
        <v>3</v>
      </c>
      <c r="T32" s="4">
        <f t="shared" si="16"/>
        <v>0</v>
      </c>
      <c r="U32" s="4">
        <f t="shared" si="17"/>
        <v>0</v>
      </c>
      <c r="V32" s="4">
        <f t="shared" si="18"/>
        <v>3</v>
      </c>
      <c r="W32" s="4">
        <f t="shared" si="19"/>
        <v>0</v>
      </c>
      <c r="X32" s="4">
        <f t="shared" si="20"/>
        <v>0</v>
      </c>
      <c r="Y32" s="4">
        <f t="shared" si="21"/>
        <v>0</v>
      </c>
      <c r="Z32" s="4">
        <f t="shared" si="22"/>
        <v>0</v>
      </c>
      <c r="AA32" s="4">
        <f t="shared" si="23"/>
        <v>0</v>
      </c>
      <c r="AB32" s="4">
        <f t="shared" si="24"/>
        <v>0</v>
      </c>
      <c r="AC32" s="4">
        <f t="shared" si="25"/>
        <v>0</v>
      </c>
    </row>
    <row r="33" spans="1:29">
      <c r="A33" s="4">
        <f>DUT!T34</f>
        <v>14.884000000000009</v>
      </c>
      <c r="B33" s="4">
        <f t="shared" si="10"/>
        <v>0</v>
      </c>
      <c r="C33" s="4">
        <f t="shared" si="11"/>
        <v>0</v>
      </c>
      <c r="D33" s="4">
        <f t="shared" si="12"/>
        <v>3</v>
      </c>
      <c r="E33" s="4">
        <f t="shared" si="0"/>
        <v>0</v>
      </c>
      <c r="F33" s="4">
        <f t="shared" si="1"/>
        <v>0</v>
      </c>
      <c r="G33" s="4">
        <f t="shared" si="2"/>
        <v>3</v>
      </c>
      <c r="H33" s="4">
        <f t="shared" si="3"/>
        <v>0</v>
      </c>
      <c r="I33" s="4">
        <f t="shared" si="4"/>
        <v>0</v>
      </c>
      <c r="J33" s="4">
        <f t="shared" si="5"/>
        <v>0</v>
      </c>
      <c r="K33" s="4">
        <f t="shared" si="6"/>
        <v>0</v>
      </c>
      <c r="L33" s="4">
        <f t="shared" si="7"/>
        <v>0</v>
      </c>
      <c r="M33" s="4">
        <f t="shared" si="8"/>
        <v>0</v>
      </c>
      <c r="N33" s="4">
        <f t="shared" si="9"/>
        <v>0</v>
      </c>
      <c r="P33" s="4">
        <f>DUT!U34</f>
        <v>14.884000000000009</v>
      </c>
      <c r="Q33" s="4">
        <f t="shared" si="13"/>
        <v>0</v>
      </c>
      <c r="R33" s="4">
        <f t="shared" si="14"/>
        <v>0</v>
      </c>
      <c r="S33" s="4">
        <f t="shared" si="15"/>
        <v>3</v>
      </c>
      <c r="T33" s="4">
        <f t="shared" si="16"/>
        <v>0</v>
      </c>
      <c r="U33" s="4">
        <f t="shared" si="17"/>
        <v>0</v>
      </c>
      <c r="V33" s="4">
        <f t="shared" si="18"/>
        <v>3</v>
      </c>
      <c r="W33" s="4">
        <f t="shared" si="19"/>
        <v>0</v>
      </c>
      <c r="X33" s="4">
        <f t="shared" si="20"/>
        <v>0</v>
      </c>
      <c r="Y33" s="4">
        <f t="shared" si="21"/>
        <v>0</v>
      </c>
      <c r="Z33" s="4">
        <f t="shared" si="22"/>
        <v>0</v>
      </c>
      <c r="AA33" s="4">
        <f t="shared" si="23"/>
        <v>0</v>
      </c>
      <c r="AB33" s="4">
        <f t="shared" si="24"/>
        <v>0</v>
      </c>
      <c r="AC33" s="4">
        <f t="shared" si="25"/>
        <v>0</v>
      </c>
    </row>
    <row r="34" spans="1:29">
      <c r="A34" s="4">
        <f>DUT!T35</f>
        <v>15.41200000000001</v>
      </c>
      <c r="B34" s="4">
        <f t="shared" si="10"/>
        <v>0</v>
      </c>
      <c r="C34" s="4">
        <f t="shared" si="11"/>
        <v>0</v>
      </c>
      <c r="D34" s="4">
        <f t="shared" si="12"/>
        <v>3</v>
      </c>
      <c r="E34" s="4">
        <f t="shared" si="0"/>
        <v>0</v>
      </c>
      <c r="F34" s="4">
        <f t="shared" si="1"/>
        <v>0</v>
      </c>
      <c r="G34" s="4">
        <f t="shared" si="2"/>
        <v>3</v>
      </c>
      <c r="H34" s="4">
        <f t="shared" si="3"/>
        <v>0</v>
      </c>
      <c r="I34" s="4">
        <f t="shared" si="4"/>
        <v>0</v>
      </c>
      <c r="J34" s="4">
        <f t="shared" si="5"/>
        <v>0</v>
      </c>
      <c r="K34" s="4">
        <f t="shared" si="6"/>
        <v>0</v>
      </c>
      <c r="L34" s="4">
        <f t="shared" si="7"/>
        <v>0</v>
      </c>
      <c r="M34" s="4">
        <f t="shared" si="8"/>
        <v>0</v>
      </c>
      <c r="N34" s="4">
        <f t="shared" si="9"/>
        <v>0</v>
      </c>
      <c r="P34" s="4">
        <f>DUT!U35</f>
        <v>15.41200000000001</v>
      </c>
      <c r="Q34" s="4">
        <f t="shared" si="13"/>
        <v>0</v>
      </c>
      <c r="R34" s="4">
        <f t="shared" si="14"/>
        <v>0</v>
      </c>
      <c r="S34" s="4">
        <f t="shared" si="15"/>
        <v>3</v>
      </c>
      <c r="T34" s="4">
        <f t="shared" si="16"/>
        <v>0</v>
      </c>
      <c r="U34" s="4">
        <f t="shared" si="17"/>
        <v>0</v>
      </c>
      <c r="V34" s="4">
        <f t="shared" si="18"/>
        <v>3</v>
      </c>
      <c r="W34" s="4">
        <f t="shared" si="19"/>
        <v>0</v>
      </c>
      <c r="X34" s="4">
        <f t="shared" si="20"/>
        <v>0</v>
      </c>
      <c r="Y34" s="4">
        <f t="shared" si="21"/>
        <v>0</v>
      </c>
      <c r="Z34" s="4">
        <f t="shared" si="22"/>
        <v>0</v>
      </c>
      <c r="AA34" s="4">
        <f t="shared" si="23"/>
        <v>0</v>
      </c>
      <c r="AB34" s="4">
        <f t="shared" si="24"/>
        <v>0</v>
      </c>
      <c r="AC34" s="4">
        <f t="shared" si="25"/>
        <v>0</v>
      </c>
    </row>
    <row r="35" spans="1:29">
      <c r="A35" s="4">
        <f>DUT!T36</f>
        <v>15.94000000000001</v>
      </c>
      <c r="B35" s="4">
        <f t="shared" si="10"/>
        <v>0</v>
      </c>
      <c r="C35" s="4">
        <f t="shared" si="11"/>
        <v>0</v>
      </c>
      <c r="D35" s="4">
        <f t="shared" si="12"/>
        <v>3</v>
      </c>
      <c r="E35" s="4">
        <f t="shared" si="0"/>
        <v>0</v>
      </c>
      <c r="F35" s="4">
        <f t="shared" si="1"/>
        <v>0</v>
      </c>
      <c r="G35" s="4">
        <f t="shared" si="2"/>
        <v>3</v>
      </c>
      <c r="H35" s="4">
        <f t="shared" si="3"/>
        <v>0</v>
      </c>
      <c r="I35" s="4">
        <f t="shared" si="4"/>
        <v>0</v>
      </c>
      <c r="J35" s="4">
        <f t="shared" si="5"/>
        <v>0</v>
      </c>
      <c r="K35" s="4">
        <f t="shared" si="6"/>
        <v>0</v>
      </c>
      <c r="L35" s="4">
        <f t="shared" si="7"/>
        <v>0</v>
      </c>
      <c r="M35" s="4">
        <f t="shared" si="8"/>
        <v>0</v>
      </c>
      <c r="N35" s="4">
        <f t="shared" si="9"/>
        <v>0</v>
      </c>
      <c r="P35" s="4">
        <f>DUT!U36</f>
        <v>15.94000000000001</v>
      </c>
      <c r="Q35" s="4">
        <f t="shared" si="13"/>
        <v>0</v>
      </c>
      <c r="R35" s="4">
        <f t="shared" si="14"/>
        <v>0</v>
      </c>
      <c r="S35" s="4">
        <f t="shared" si="15"/>
        <v>3</v>
      </c>
      <c r="T35" s="4">
        <f t="shared" si="16"/>
        <v>0</v>
      </c>
      <c r="U35" s="4">
        <f t="shared" si="17"/>
        <v>0</v>
      </c>
      <c r="V35" s="4">
        <f t="shared" si="18"/>
        <v>3</v>
      </c>
      <c r="W35" s="4">
        <f t="shared" si="19"/>
        <v>0</v>
      </c>
      <c r="X35" s="4">
        <f t="shared" si="20"/>
        <v>0</v>
      </c>
      <c r="Y35" s="4">
        <f t="shared" si="21"/>
        <v>0</v>
      </c>
      <c r="Z35" s="4">
        <f t="shared" si="22"/>
        <v>0</v>
      </c>
      <c r="AA35" s="4">
        <f t="shared" si="23"/>
        <v>0</v>
      </c>
      <c r="AB35" s="4">
        <f t="shared" si="24"/>
        <v>0</v>
      </c>
      <c r="AC35" s="4">
        <f t="shared" si="25"/>
        <v>0</v>
      </c>
    </row>
    <row r="36" spans="1:29">
      <c r="A36" s="4">
        <f>DUT!T37</f>
        <v>16.468000000000011</v>
      </c>
      <c r="B36" s="4">
        <f t="shared" si="10"/>
        <v>0</v>
      </c>
      <c r="C36" s="4">
        <f t="shared" si="11"/>
        <v>0</v>
      </c>
      <c r="D36" s="4">
        <f t="shared" si="12"/>
        <v>3</v>
      </c>
      <c r="E36" s="4">
        <f t="shared" si="0"/>
        <v>0</v>
      </c>
      <c r="F36" s="4">
        <f t="shared" si="1"/>
        <v>0</v>
      </c>
      <c r="G36" s="4">
        <f t="shared" si="2"/>
        <v>3</v>
      </c>
      <c r="H36" s="4">
        <f t="shared" si="3"/>
        <v>0</v>
      </c>
      <c r="I36" s="4">
        <f t="shared" si="4"/>
        <v>0</v>
      </c>
      <c r="J36" s="4">
        <f t="shared" si="5"/>
        <v>0</v>
      </c>
      <c r="K36" s="4">
        <f t="shared" si="6"/>
        <v>0</v>
      </c>
      <c r="L36" s="4">
        <f t="shared" si="7"/>
        <v>0</v>
      </c>
      <c r="M36" s="4">
        <f t="shared" si="8"/>
        <v>0</v>
      </c>
      <c r="N36" s="4">
        <f t="shared" si="9"/>
        <v>0</v>
      </c>
      <c r="P36" s="4">
        <f>DUT!U37</f>
        <v>16.468000000000011</v>
      </c>
      <c r="Q36" s="4">
        <f t="shared" si="13"/>
        <v>0</v>
      </c>
      <c r="R36" s="4">
        <f t="shared" si="14"/>
        <v>0</v>
      </c>
      <c r="S36" s="4">
        <f t="shared" si="15"/>
        <v>3</v>
      </c>
      <c r="T36" s="4">
        <f t="shared" si="16"/>
        <v>0</v>
      </c>
      <c r="U36" s="4">
        <f t="shared" si="17"/>
        <v>0</v>
      </c>
      <c r="V36" s="4">
        <f t="shared" si="18"/>
        <v>3</v>
      </c>
      <c r="W36" s="4">
        <f t="shared" si="19"/>
        <v>0</v>
      </c>
      <c r="X36" s="4">
        <f t="shared" si="20"/>
        <v>0</v>
      </c>
      <c r="Y36" s="4">
        <f t="shared" si="21"/>
        <v>0</v>
      </c>
      <c r="Z36" s="4">
        <f t="shared" si="22"/>
        <v>0</v>
      </c>
      <c r="AA36" s="4">
        <f t="shared" si="23"/>
        <v>0</v>
      </c>
      <c r="AB36" s="4">
        <f t="shared" si="24"/>
        <v>0</v>
      </c>
      <c r="AC36" s="4">
        <f t="shared" si="25"/>
        <v>0</v>
      </c>
    </row>
    <row r="37" spans="1:29">
      <c r="A37" s="4">
        <f>DUT!T38</f>
        <v>16.996000000000009</v>
      </c>
      <c r="B37" s="4">
        <f t="shared" si="10"/>
        <v>0</v>
      </c>
      <c r="C37" s="4">
        <f t="shared" si="11"/>
        <v>0</v>
      </c>
      <c r="D37" s="4">
        <f t="shared" si="12"/>
        <v>3</v>
      </c>
      <c r="E37" s="4">
        <f t="shared" ref="E37:E68" si="26">1*AND($A37&gt;=$AE$4,$A37&lt;$AF$4)</f>
        <v>0</v>
      </c>
      <c r="F37" s="4">
        <f t="shared" ref="F37:F68" si="27">2*AND($A37&gt;=$AE$5,$A37&lt;$AF$5)</f>
        <v>0</v>
      </c>
      <c r="G37" s="4">
        <f t="shared" ref="G37:G68" si="28">3*AND($A37&gt;=$AE$6,$A37&lt;$AF$6)</f>
        <v>3</v>
      </c>
      <c r="H37" s="4">
        <f t="shared" ref="H37:H68" si="29">4*AND($A37&gt;=$AE$7,$A37&lt;$AF$7)</f>
        <v>0</v>
      </c>
      <c r="I37" s="4">
        <f t="shared" ref="I37:I68" si="30">5*AND($A37&gt;=$AE$8,$A37&lt;$AF$8)</f>
        <v>0</v>
      </c>
      <c r="J37" s="4">
        <f t="shared" ref="J37:J68" si="31">6*AND($A37&gt;=$AE$9,$A37&lt;$AF$9)</f>
        <v>0</v>
      </c>
      <c r="K37" s="4">
        <f t="shared" ref="K37:K68" si="32">7*AND($A37&gt;=$AE$10,$A37&lt;$AF$10)</f>
        <v>0</v>
      </c>
      <c r="L37" s="4">
        <f t="shared" ref="L37:L68" si="33">8*AND($A37&gt;=$AE$11,$A37&lt;$AF$11)</f>
        <v>0</v>
      </c>
      <c r="M37" s="4">
        <f t="shared" ref="M37:M68" si="34">9*AND($A37&gt;=$AE$12,$A37&lt;$AF$12)</f>
        <v>0</v>
      </c>
      <c r="N37" s="4">
        <f t="shared" ref="N37:N68" si="35">10*AND($A37&gt;=$AE$13,$A37&lt;$AF$13)</f>
        <v>0</v>
      </c>
      <c r="P37" s="4">
        <f>DUT!U38</f>
        <v>16.996000000000009</v>
      </c>
      <c r="Q37" s="4">
        <f t="shared" si="13"/>
        <v>0</v>
      </c>
      <c r="R37" s="4">
        <f t="shared" si="14"/>
        <v>0</v>
      </c>
      <c r="S37" s="4">
        <f t="shared" si="15"/>
        <v>3</v>
      </c>
      <c r="T37" s="4">
        <f t="shared" si="16"/>
        <v>0</v>
      </c>
      <c r="U37" s="4">
        <f t="shared" si="17"/>
        <v>0</v>
      </c>
      <c r="V37" s="4">
        <f t="shared" si="18"/>
        <v>3</v>
      </c>
      <c r="W37" s="4">
        <f t="shared" si="19"/>
        <v>0</v>
      </c>
      <c r="X37" s="4">
        <f t="shared" si="20"/>
        <v>0</v>
      </c>
      <c r="Y37" s="4">
        <f t="shared" si="21"/>
        <v>0</v>
      </c>
      <c r="Z37" s="4">
        <f t="shared" si="22"/>
        <v>0</v>
      </c>
      <c r="AA37" s="4">
        <f t="shared" si="23"/>
        <v>0</v>
      </c>
      <c r="AB37" s="4">
        <f t="shared" si="24"/>
        <v>0</v>
      </c>
      <c r="AC37" s="4">
        <f t="shared" si="25"/>
        <v>0</v>
      </c>
    </row>
    <row r="38" spans="1:29">
      <c r="A38" s="4">
        <f>DUT!T39</f>
        <v>17.524000000000008</v>
      </c>
      <c r="B38" s="4">
        <f t="shared" ref="B38:B69" si="36">CHOOSE($D38,$AL$4,$AL$5,$AL$6,$AL$7,$AL$8,$AL$9,$AL$10,$AL$11,$AL$12,$AL$13)</f>
        <v>0</v>
      </c>
      <c r="C38" s="4">
        <f t="shared" ref="C38:C69" si="37">CHOOSE($D38,$AS$4,$AS$5,$AS$6,$AS$7,$AS$8,$AS$9,$AS$10,$AS$11,$AS$12,$AS$13)</f>
        <v>0</v>
      </c>
      <c r="D38" s="4">
        <f t="shared" si="12"/>
        <v>3</v>
      </c>
      <c r="E38" s="4">
        <f t="shared" si="26"/>
        <v>0</v>
      </c>
      <c r="F38" s="4">
        <f t="shared" si="27"/>
        <v>0</v>
      </c>
      <c r="G38" s="4">
        <f t="shared" si="28"/>
        <v>3</v>
      </c>
      <c r="H38" s="4">
        <f t="shared" si="29"/>
        <v>0</v>
      </c>
      <c r="I38" s="4">
        <f t="shared" si="30"/>
        <v>0</v>
      </c>
      <c r="J38" s="4">
        <f t="shared" si="31"/>
        <v>0</v>
      </c>
      <c r="K38" s="4">
        <f t="shared" si="32"/>
        <v>0</v>
      </c>
      <c r="L38" s="4">
        <f t="shared" si="33"/>
        <v>0</v>
      </c>
      <c r="M38" s="4">
        <f t="shared" si="34"/>
        <v>0</v>
      </c>
      <c r="N38" s="4">
        <f t="shared" si="35"/>
        <v>0</v>
      </c>
      <c r="P38" s="4">
        <f>DUT!U39</f>
        <v>17.524000000000008</v>
      </c>
      <c r="Q38" s="4">
        <f t="shared" si="13"/>
        <v>0</v>
      </c>
      <c r="R38" s="4">
        <f t="shared" si="14"/>
        <v>0</v>
      </c>
      <c r="S38" s="4">
        <f t="shared" si="15"/>
        <v>3</v>
      </c>
      <c r="T38" s="4">
        <f t="shared" si="16"/>
        <v>0</v>
      </c>
      <c r="U38" s="4">
        <f t="shared" si="17"/>
        <v>0</v>
      </c>
      <c r="V38" s="4">
        <f t="shared" si="18"/>
        <v>3</v>
      </c>
      <c r="W38" s="4">
        <f t="shared" si="19"/>
        <v>0</v>
      </c>
      <c r="X38" s="4">
        <f t="shared" si="20"/>
        <v>0</v>
      </c>
      <c r="Y38" s="4">
        <f t="shared" si="21"/>
        <v>0</v>
      </c>
      <c r="Z38" s="4">
        <f t="shared" si="22"/>
        <v>0</v>
      </c>
      <c r="AA38" s="4">
        <f t="shared" si="23"/>
        <v>0</v>
      </c>
      <c r="AB38" s="4">
        <f t="shared" si="24"/>
        <v>0</v>
      </c>
      <c r="AC38" s="4">
        <f t="shared" si="25"/>
        <v>0</v>
      </c>
    </row>
    <row r="39" spans="1:29">
      <c r="A39" s="4">
        <f>DUT!T40</f>
        <v>18.052000000000007</v>
      </c>
      <c r="B39" s="4">
        <f t="shared" si="36"/>
        <v>0</v>
      </c>
      <c r="C39" s="4">
        <f t="shared" si="37"/>
        <v>0</v>
      </c>
      <c r="D39" s="4">
        <f t="shared" si="12"/>
        <v>3</v>
      </c>
      <c r="E39" s="4">
        <f t="shared" si="26"/>
        <v>0</v>
      </c>
      <c r="F39" s="4">
        <f t="shared" si="27"/>
        <v>0</v>
      </c>
      <c r="G39" s="4">
        <f t="shared" si="28"/>
        <v>3</v>
      </c>
      <c r="H39" s="4">
        <f t="shared" si="29"/>
        <v>0</v>
      </c>
      <c r="I39" s="4">
        <f t="shared" si="30"/>
        <v>0</v>
      </c>
      <c r="J39" s="4">
        <f t="shared" si="31"/>
        <v>0</v>
      </c>
      <c r="K39" s="4">
        <f t="shared" si="32"/>
        <v>0</v>
      </c>
      <c r="L39" s="4">
        <f t="shared" si="33"/>
        <v>0</v>
      </c>
      <c r="M39" s="4">
        <f t="shared" si="34"/>
        <v>0</v>
      </c>
      <c r="N39" s="4">
        <f t="shared" si="35"/>
        <v>0</v>
      </c>
      <c r="P39" s="4">
        <f>DUT!U40</f>
        <v>18.052000000000007</v>
      </c>
      <c r="Q39" s="4">
        <f t="shared" si="13"/>
        <v>0</v>
      </c>
      <c r="R39" s="4">
        <f t="shared" si="14"/>
        <v>0</v>
      </c>
      <c r="S39" s="4">
        <f t="shared" si="15"/>
        <v>3</v>
      </c>
      <c r="T39" s="4">
        <f t="shared" si="16"/>
        <v>0</v>
      </c>
      <c r="U39" s="4">
        <f t="shared" si="17"/>
        <v>0</v>
      </c>
      <c r="V39" s="4">
        <f t="shared" si="18"/>
        <v>3</v>
      </c>
      <c r="W39" s="4">
        <f t="shared" si="19"/>
        <v>0</v>
      </c>
      <c r="X39" s="4">
        <f t="shared" si="20"/>
        <v>0</v>
      </c>
      <c r="Y39" s="4">
        <f t="shared" si="21"/>
        <v>0</v>
      </c>
      <c r="Z39" s="4">
        <f t="shared" si="22"/>
        <v>0</v>
      </c>
      <c r="AA39" s="4">
        <f t="shared" si="23"/>
        <v>0</v>
      </c>
      <c r="AB39" s="4">
        <f t="shared" si="24"/>
        <v>0</v>
      </c>
      <c r="AC39" s="4">
        <f t="shared" si="25"/>
        <v>0</v>
      </c>
    </row>
    <row r="40" spans="1:29">
      <c r="A40" s="4">
        <f>DUT!T41</f>
        <v>18.580000000000005</v>
      </c>
      <c r="B40" s="4">
        <f t="shared" si="36"/>
        <v>0</v>
      </c>
      <c r="C40" s="4">
        <f t="shared" si="37"/>
        <v>0</v>
      </c>
      <c r="D40" s="4">
        <f t="shared" si="12"/>
        <v>4</v>
      </c>
      <c r="E40" s="4">
        <f t="shared" si="26"/>
        <v>0</v>
      </c>
      <c r="F40" s="4">
        <f t="shared" si="27"/>
        <v>0</v>
      </c>
      <c r="G40" s="4">
        <f t="shared" si="28"/>
        <v>0</v>
      </c>
      <c r="H40" s="4">
        <f t="shared" si="29"/>
        <v>4</v>
      </c>
      <c r="I40" s="4">
        <f t="shared" si="30"/>
        <v>0</v>
      </c>
      <c r="J40" s="4">
        <f t="shared" si="31"/>
        <v>0</v>
      </c>
      <c r="K40" s="4">
        <f t="shared" si="32"/>
        <v>0</v>
      </c>
      <c r="L40" s="4">
        <f t="shared" si="33"/>
        <v>0</v>
      </c>
      <c r="M40" s="4">
        <f t="shared" si="34"/>
        <v>0</v>
      </c>
      <c r="N40" s="4">
        <f t="shared" si="35"/>
        <v>0</v>
      </c>
      <c r="P40" s="4">
        <f>DUT!U41</f>
        <v>18.580000000000005</v>
      </c>
      <c r="Q40" s="4">
        <f t="shared" si="13"/>
        <v>0</v>
      </c>
      <c r="R40" s="4">
        <f t="shared" si="14"/>
        <v>0</v>
      </c>
      <c r="S40" s="4">
        <f t="shared" si="15"/>
        <v>4</v>
      </c>
      <c r="T40" s="4">
        <f t="shared" si="16"/>
        <v>0</v>
      </c>
      <c r="U40" s="4">
        <f t="shared" si="17"/>
        <v>0</v>
      </c>
      <c r="V40" s="4">
        <f t="shared" si="18"/>
        <v>0</v>
      </c>
      <c r="W40" s="4">
        <f t="shared" si="19"/>
        <v>4</v>
      </c>
      <c r="X40" s="4">
        <f t="shared" si="20"/>
        <v>0</v>
      </c>
      <c r="Y40" s="4">
        <f t="shared" si="21"/>
        <v>0</v>
      </c>
      <c r="Z40" s="4">
        <f t="shared" si="22"/>
        <v>0</v>
      </c>
      <c r="AA40" s="4">
        <f t="shared" si="23"/>
        <v>0</v>
      </c>
      <c r="AB40" s="4">
        <f t="shared" si="24"/>
        <v>0</v>
      </c>
      <c r="AC40" s="4">
        <f t="shared" si="25"/>
        <v>0</v>
      </c>
    </row>
    <row r="41" spans="1:29">
      <c r="A41" s="4">
        <f>DUT!T42</f>
        <v>19.108000000000004</v>
      </c>
      <c r="B41" s="4">
        <f t="shared" si="36"/>
        <v>0</v>
      </c>
      <c r="C41" s="4">
        <f t="shared" si="37"/>
        <v>0</v>
      </c>
      <c r="D41" s="4">
        <f t="shared" si="12"/>
        <v>4</v>
      </c>
      <c r="E41" s="4">
        <f t="shared" si="26"/>
        <v>0</v>
      </c>
      <c r="F41" s="4">
        <f t="shared" si="27"/>
        <v>0</v>
      </c>
      <c r="G41" s="4">
        <f t="shared" si="28"/>
        <v>0</v>
      </c>
      <c r="H41" s="4">
        <f t="shared" si="29"/>
        <v>4</v>
      </c>
      <c r="I41" s="4">
        <f t="shared" si="30"/>
        <v>0</v>
      </c>
      <c r="J41" s="4">
        <f t="shared" si="31"/>
        <v>0</v>
      </c>
      <c r="K41" s="4">
        <f t="shared" si="32"/>
        <v>0</v>
      </c>
      <c r="L41" s="4">
        <f t="shared" si="33"/>
        <v>0</v>
      </c>
      <c r="M41" s="4">
        <f t="shared" si="34"/>
        <v>0</v>
      </c>
      <c r="N41" s="4">
        <f t="shared" si="35"/>
        <v>0</v>
      </c>
      <c r="P41" s="4">
        <f>DUT!U42</f>
        <v>19.108000000000004</v>
      </c>
      <c r="Q41" s="4">
        <f t="shared" si="13"/>
        <v>0</v>
      </c>
      <c r="R41" s="4">
        <f t="shared" si="14"/>
        <v>0</v>
      </c>
      <c r="S41" s="4">
        <f t="shared" si="15"/>
        <v>4</v>
      </c>
      <c r="T41" s="4">
        <f t="shared" si="16"/>
        <v>0</v>
      </c>
      <c r="U41" s="4">
        <f t="shared" si="17"/>
        <v>0</v>
      </c>
      <c r="V41" s="4">
        <f t="shared" si="18"/>
        <v>0</v>
      </c>
      <c r="W41" s="4">
        <f t="shared" si="19"/>
        <v>4</v>
      </c>
      <c r="X41" s="4">
        <f t="shared" si="20"/>
        <v>0</v>
      </c>
      <c r="Y41" s="4">
        <f t="shared" si="21"/>
        <v>0</v>
      </c>
      <c r="Z41" s="4">
        <f t="shared" si="22"/>
        <v>0</v>
      </c>
      <c r="AA41" s="4">
        <f t="shared" si="23"/>
        <v>0</v>
      </c>
      <c r="AB41" s="4">
        <f t="shared" si="24"/>
        <v>0</v>
      </c>
      <c r="AC41" s="4">
        <f t="shared" si="25"/>
        <v>0</v>
      </c>
    </row>
    <row r="42" spans="1:29">
      <c r="A42" s="4">
        <f>DUT!T43</f>
        <v>19.636000000000003</v>
      </c>
      <c r="B42" s="4">
        <f t="shared" si="36"/>
        <v>0</v>
      </c>
      <c r="C42" s="4">
        <f t="shared" si="37"/>
        <v>0</v>
      </c>
      <c r="D42" s="4">
        <f t="shared" si="12"/>
        <v>4</v>
      </c>
      <c r="E42" s="4">
        <f t="shared" si="26"/>
        <v>0</v>
      </c>
      <c r="F42" s="4">
        <f t="shared" si="27"/>
        <v>0</v>
      </c>
      <c r="G42" s="4">
        <f t="shared" si="28"/>
        <v>0</v>
      </c>
      <c r="H42" s="4">
        <f t="shared" si="29"/>
        <v>4</v>
      </c>
      <c r="I42" s="4">
        <f t="shared" si="30"/>
        <v>0</v>
      </c>
      <c r="J42" s="4">
        <f t="shared" si="31"/>
        <v>0</v>
      </c>
      <c r="K42" s="4">
        <f t="shared" si="32"/>
        <v>0</v>
      </c>
      <c r="L42" s="4">
        <f t="shared" si="33"/>
        <v>0</v>
      </c>
      <c r="M42" s="4">
        <f t="shared" si="34"/>
        <v>0</v>
      </c>
      <c r="N42" s="4">
        <f t="shared" si="35"/>
        <v>0</v>
      </c>
      <c r="P42" s="4">
        <f>DUT!U43</f>
        <v>19.636000000000003</v>
      </c>
      <c r="Q42" s="4">
        <f t="shared" si="13"/>
        <v>0</v>
      </c>
      <c r="R42" s="4">
        <f t="shared" si="14"/>
        <v>0</v>
      </c>
      <c r="S42" s="4">
        <f t="shared" si="15"/>
        <v>4</v>
      </c>
      <c r="T42" s="4">
        <f t="shared" si="16"/>
        <v>0</v>
      </c>
      <c r="U42" s="4">
        <f t="shared" si="17"/>
        <v>0</v>
      </c>
      <c r="V42" s="4">
        <f t="shared" si="18"/>
        <v>0</v>
      </c>
      <c r="W42" s="4">
        <f t="shared" si="19"/>
        <v>4</v>
      </c>
      <c r="X42" s="4">
        <f t="shared" si="20"/>
        <v>0</v>
      </c>
      <c r="Y42" s="4">
        <f t="shared" si="21"/>
        <v>0</v>
      </c>
      <c r="Z42" s="4">
        <f t="shared" si="22"/>
        <v>0</v>
      </c>
      <c r="AA42" s="4">
        <f t="shared" si="23"/>
        <v>0</v>
      </c>
      <c r="AB42" s="4">
        <f t="shared" si="24"/>
        <v>0</v>
      </c>
      <c r="AC42" s="4">
        <f t="shared" si="25"/>
        <v>0</v>
      </c>
    </row>
    <row r="43" spans="1:29">
      <c r="A43" s="4">
        <f>DUT!T44</f>
        <v>20.164000000000001</v>
      </c>
      <c r="B43" s="4">
        <f t="shared" si="36"/>
        <v>0</v>
      </c>
      <c r="C43" s="4">
        <f t="shared" si="37"/>
        <v>0</v>
      </c>
      <c r="D43" s="4">
        <f t="shared" si="12"/>
        <v>5</v>
      </c>
      <c r="E43" s="4">
        <f t="shared" si="26"/>
        <v>0</v>
      </c>
      <c r="F43" s="4">
        <f t="shared" si="27"/>
        <v>0</v>
      </c>
      <c r="G43" s="4">
        <f t="shared" si="28"/>
        <v>0</v>
      </c>
      <c r="H43" s="4">
        <f t="shared" si="29"/>
        <v>0</v>
      </c>
      <c r="I43" s="4">
        <f t="shared" si="30"/>
        <v>5</v>
      </c>
      <c r="J43" s="4">
        <f t="shared" si="31"/>
        <v>0</v>
      </c>
      <c r="K43" s="4">
        <f t="shared" si="32"/>
        <v>0</v>
      </c>
      <c r="L43" s="4">
        <f t="shared" si="33"/>
        <v>0</v>
      </c>
      <c r="M43" s="4">
        <f t="shared" si="34"/>
        <v>0</v>
      </c>
      <c r="N43" s="4">
        <f t="shared" si="35"/>
        <v>0</v>
      </c>
      <c r="P43" s="4">
        <f>DUT!U44</f>
        <v>20.164000000000001</v>
      </c>
      <c r="Q43" s="4">
        <f t="shared" si="13"/>
        <v>0</v>
      </c>
      <c r="R43" s="4">
        <f t="shared" si="14"/>
        <v>0</v>
      </c>
      <c r="S43" s="4">
        <f t="shared" si="15"/>
        <v>5</v>
      </c>
      <c r="T43" s="4">
        <f t="shared" si="16"/>
        <v>0</v>
      </c>
      <c r="U43" s="4">
        <f t="shared" si="17"/>
        <v>0</v>
      </c>
      <c r="V43" s="4">
        <f t="shared" si="18"/>
        <v>0</v>
      </c>
      <c r="W43" s="4">
        <f t="shared" si="19"/>
        <v>0</v>
      </c>
      <c r="X43" s="4">
        <f t="shared" si="20"/>
        <v>5</v>
      </c>
      <c r="Y43" s="4">
        <f t="shared" si="21"/>
        <v>0</v>
      </c>
      <c r="Z43" s="4">
        <f t="shared" si="22"/>
        <v>0</v>
      </c>
      <c r="AA43" s="4">
        <f t="shared" si="23"/>
        <v>0</v>
      </c>
      <c r="AB43" s="4">
        <f t="shared" si="24"/>
        <v>0</v>
      </c>
      <c r="AC43" s="4">
        <f t="shared" si="25"/>
        <v>0</v>
      </c>
    </row>
    <row r="44" spans="1:29">
      <c r="A44" s="4">
        <f>DUT!T45</f>
        <v>20.692</v>
      </c>
      <c r="B44" s="4">
        <f t="shared" si="36"/>
        <v>0</v>
      </c>
      <c r="C44" s="4">
        <f t="shared" si="37"/>
        <v>0</v>
      </c>
      <c r="D44" s="4">
        <f t="shared" si="12"/>
        <v>5</v>
      </c>
      <c r="E44" s="4">
        <f t="shared" si="26"/>
        <v>0</v>
      </c>
      <c r="F44" s="4">
        <f t="shared" si="27"/>
        <v>0</v>
      </c>
      <c r="G44" s="4">
        <f t="shared" si="28"/>
        <v>0</v>
      </c>
      <c r="H44" s="4">
        <f t="shared" si="29"/>
        <v>0</v>
      </c>
      <c r="I44" s="4">
        <f t="shared" si="30"/>
        <v>5</v>
      </c>
      <c r="J44" s="4">
        <f t="shared" si="31"/>
        <v>0</v>
      </c>
      <c r="K44" s="4">
        <f t="shared" si="32"/>
        <v>0</v>
      </c>
      <c r="L44" s="4">
        <f t="shared" si="33"/>
        <v>0</v>
      </c>
      <c r="M44" s="4">
        <f t="shared" si="34"/>
        <v>0</v>
      </c>
      <c r="N44" s="4">
        <f t="shared" si="35"/>
        <v>0</v>
      </c>
      <c r="P44" s="4">
        <f>DUT!U45</f>
        <v>20.692</v>
      </c>
      <c r="Q44" s="4">
        <f t="shared" si="13"/>
        <v>0</v>
      </c>
      <c r="R44" s="4">
        <f t="shared" si="14"/>
        <v>0</v>
      </c>
      <c r="S44" s="4">
        <f t="shared" si="15"/>
        <v>5</v>
      </c>
      <c r="T44" s="4">
        <f t="shared" si="16"/>
        <v>0</v>
      </c>
      <c r="U44" s="4">
        <f t="shared" si="17"/>
        <v>0</v>
      </c>
      <c r="V44" s="4">
        <f t="shared" si="18"/>
        <v>0</v>
      </c>
      <c r="W44" s="4">
        <f t="shared" si="19"/>
        <v>0</v>
      </c>
      <c r="X44" s="4">
        <f t="shared" si="20"/>
        <v>5</v>
      </c>
      <c r="Y44" s="4">
        <f t="shared" si="21"/>
        <v>0</v>
      </c>
      <c r="Z44" s="4">
        <f t="shared" si="22"/>
        <v>0</v>
      </c>
      <c r="AA44" s="4">
        <f t="shared" si="23"/>
        <v>0</v>
      </c>
      <c r="AB44" s="4">
        <f t="shared" si="24"/>
        <v>0</v>
      </c>
      <c r="AC44" s="4">
        <f t="shared" si="25"/>
        <v>0</v>
      </c>
    </row>
    <row r="45" spans="1:29">
      <c r="A45" s="4">
        <f>DUT!T46</f>
        <v>21.22</v>
      </c>
      <c r="B45" s="4">
        <f t="shared" si="36"/>
        <v>0</v>
      </c>
      <c r="C45" s="4">
        <f t="shared" si="37"/>
        <v>0</v>
      </c>
      <c r="D45" s="4">
        <f t="shared" si="12"/>
        <v>5</v>
      </c>
      <c r="E45" s="4">
        <f t="shared" si="26"/>
        <v>0</v>
      </c>
      <c r="F45" s="4">
        <f t="shared" si="27"/>
        <v>0</v>
      </c>
      <c r="G45" s="4">
        <f t="shared" si="28"/>
        <v>0</v>
      </c>
      <c r="H45" s="4">
        <f t="shared" si="29"/>
        <v>0</v>
      </c>
      <c r="I45" s="4">
        <f t="shared" si="30"/>
        <v>5</v>
      </c>
      <c r="J45" s="4">
        <f t="shared" si="31"/>
        <v>0</v>
      </c>
      <c r="K45" s="4">
        <f t="shared" si="32"/>
        <v>0</v>
      </c>
      <c r="L45" s="4">
        <f t="shared" si="33"/>
        <v>0</v>
      </c>
      <c r="M45" s="4">
        <f t="shared" si="34"/>
        <v>0</v>
      </c>
      <c r="N45" s="4">
        <f t="shared" si="35"/>
        <v>0</v>
      </c>
      <c r="P45" s="4">
        <f>DUT!U46</f>
        <v>21.22</v>
      </c>
      <c r="Q45" s="4">
        <f t="shared" si="13"/>
        <v>0</v>
      </c>
      <c r="R45" s="4">
        <f t="shared" si="14"/>
        <v>0</v>
      </c>
      <c r="S45" s="4">
        <f t="shared" si="15"/>
        <v>5</v>
      </c>
      <c r="T45" s="4">
        <f t="shared" si="16"/>
        <v>0</v>
      </c>
      <c r="U45" s="4">
        <f t="shared" si="17"/>
        <v>0</v>
      </c>
      <c r="V45" s="4">
        <f t="shared" si="18"/>
        <v>0</v>
      </c>
      <c r="W45" s="4">
        <f t="shared" si="19"/>
        <v>0</v>
      </c>
      <c r="X45" s="4">
        <f t="shared" si="20"/>
        <v>5</v>
      </c>
      <c r="Y45" s="4">
        <f t="shared" si="21"/>
        <v>0</v>
      </c>
      <c r="Z45" s="4">
        <f t="shared" si="22"/>
        <v>0</v>
      </c>
      <c r="AA45" s="4">
        <f t="shared" si="23"/>
        <v>0</v>
      </c>
      <c r="AB45" s="4">
        <f t="shared" si="24"/>
        <v>0</v>
      </c>
      <c r="AC45" s="4">
        <f t="shared" si="25"/>
        <v>0</v>
      </c>
    </row>
    <row r="46" spans="1:29">
      <c r="A46" s="4">
        <f>DUT!T47</f>
        <v>21.747999999999998</v>
      </c>
      <c r="B46" s="4">
        <f t="shared" si="36"/>
        <v>0</v>
      </c>
      <c r="C46" s="4">
        <f t="shared" si="37"/>
        <v>0</v>
      </c>
      <c r="D46" s="4">
        <f t="shared" si="12"/>
        <v>5</v>
      </c>
      <c r="E46" s="4">
        <f t="shared" si="26"/>
        <v>0</v>
      </c>
      <c r="F46" s="4">
        <f t="shared" si="27"/>
        <v>0</v>
      </c>
      <c r="G46" s="4">
        <f t="shared" si="28"/>
        <v>0</v>
      </c>
      <c r="H46" s="4">
        <f t="shared" si="29"/>
        <v>0</v>
      </c>
      <c r="I46" s="4">
        <f t="shared" si="30"/>
        <v>5</v>
      </c>
      <c r="J46" s="4">
        <f t="shared" si="31"/>
        <v>0</v>
      </c>
      <c r="K46" s="4">
        <f t="shared" si="32"/>
        <v>0</v>
      </c>
      <c r="L46" s="4">
        <f t="shared" si="33"/>
        <v>0</v>
      </c>
      <c r="M46" s="4">
        <f t="shared" si="34"/>
        <v>0</v>
      </c>
      <c r="N46" s="4">
        <f t="shared" si="35"/>
        <v>0</v>
      </c>
      <c r="P46" s="4">
        <f>DUT!U47</f>
        <v>21.747999999999998</v>
      </c>
      <c r="Q46" s="4">
        <f t="shared" si="13"/>
        <v>0</v>
      </c>
      <c r="R46" s="4">
        <f t="shared" si="14"/>
        <v>0</v>
      </c>
      <c r="S46" s="4">
        <f t="shared" si="15"/>
        <v>5</v>
      </c>
      <c r="T46" s="4">
        <f t="shared" si="16"/>
        <v>0</v>
      </c>
      <c r="U46" s="4">
        <f t="shared" si="17"/>
        <v>0</v>
      </c>
      <c r="V46" s="4">
        <f t="shared" si="18"/>
        <v>0</v>
      </c>
      <c r="W46" s="4">
        <f t="shared" si="19"/>
        <v>0</v>
      </c>
      <c r="X46" s="4">
        <f t="shared" si="20"/>
        <v>5</v>
      </c>
      <c r="Y46" s="4">
        <f t="shared" si="21"/>
        <v>0</v>
      </c>
      <c r="Z46" s="4">
        <f t="shared" si="22"/>
        <v>0</v>
      </c>
      <c r="AA46" s="4">
        <f t="shared" si="23"/>
        <v>0</v>
      </c>
      <c r="AB46" s="4">
        <f t="shared" si="24"/>
        <v>0</v>
      </c>
      <c r="AC46" s="4">
        <f t="shared" si="25"/>
        <v>0</v>
      </c>
    </row>
    <row r="47" spans="1:29">
      <c r="A47" s="4">
        <f>DUT!T48</f>
        <v>22.275999999999996</v>
      </c>
      <c r="B47" s="4">
        <f t="shared" si="36"/>
        <v>0</v>
      </c>
      <c r="C47" s="4">
        <f t="shared" si="37"/>
        <v>0</v>
      </c>
      <c r="D47" s="4">
        <f t="shared" si="12"/>
        <v>5</v>
      </c>
      <c r="E47" s="4">
        <f t="shared" si="26"/>
        <v>0</v>
      </c>
      <c r="F47" s="4">
        <f t="shared" si="27"/>
        <v>0</v>
      </c>
      <c r="G47" s="4">
        <f t="shared" si="28"/>
        <v>0</v>
      </c>
      <c r="H47" s="4">
        <f t="shared" si="29"/>
        <v>0</v>
      </c>
      <c r="I47" s="4">
        <f t="shared" si="30"/>
        <v>5</v>
      </c>
      <c r="J47" s="4">
        <f t="shared" si="31"/>
        <v>0</v>
      </c>
      <c r="K47" s="4">
        <f t="shared" si="32"/>
        <v>0</v>
      </c>
      <c r="L47" s="4">
        <f t="shared" si="33"/>
        <v>0</v>
      </c>
      <c r="M47" s="4">
        <f t="shared" si="34"/>
        <v>0</v>
      </c>
      <c r="N47" s="4">
        <f t="shared" si="35"/>
        <v>0</v>
      </c>
      <c r="P47" s="4">
        <f>DUT!U48</f>
        <v>22.275999999999996</v>
      </c>
      <c r="Q47" s="4">
        <f t="shared" si="13"/>
        <v>0</v>
      </c>
      <c r="R47" s="4">
        <f t="shared" si="14"/>
        <v>0</v>
      </c>
      <c r="S47" s="4">
        <f t="shared" si="15"/>
        <v>5</v>
      </c>
      <c r="T47" s="4">
        <f t="shared" si="16"/>
        <v>0</v>
      </c>
      <c r="U47" s="4">
        <f t="shared" si="17"/>
        <v>0</v>
      </c>
      <c r="V47" s="4">
        <f t="shared" si="18"/>
        <v>0</v>
      </c>
      <c r="W47" s="4">
        <f t="shared" si="19"/>
        <v>0</v>
      </c>
      <c r="X47" s="4">
        <f t="shared" si="20"/>
        <v>5</v>
      </c>
      <c r="Y47" s="4">
        <f t="shared" si="21"/>
        <v>0</v>
      </c>
      <c r="Z47" s="4">
        <f t="shared" si="22"/>
        <v>0</v>
      </c>
      <c r="AA47" s="4">
        <f t="shared" si="23"/>
        <v>0</v>
      </c>
      <c r="AB47" s="4">
        <f t="shared" si="24"/>
        <v>0</v>
      </c>
      <c r="AC47" s="4">
        <f t="shared" si="25"/>
        <v>0</v>
      </c>
    </row>
    <row r="48" spans="1:29">
      <c r="A48" s="4">
        <f>DUT!T49</f>
        <v>22.803999999999995</v>
      </c>
      <c r="B48" s="4">
        <f t="shared" si="36"/>
        <v>0</v>
      </c>
      <c r="C48" s="4">
        <f t="shared" si="37"/>
        <v>0</v>
      </c>
      <c r="D48" s="4">
        <f t="shared" si="12"/>
        <v>5</v>
      </c>
      <c r="E48" s="4">
        <f t="shared" si="26"/>
        <v>0</v>
      </c>
      <c r="F48" s="4">
        <f t="shared" si="27"/>
        <v>0</v>
      </c>
      <c r="G48" s="4">
        <f t="shared" si="28"/>
        <v>0</v>
      </c>
      <c r="H48" s="4">
        <f t="shared" si="29"/>
        <v>0</v>
      </c>
      <c r="I48" s="4">
        <f t="shared" si="30"/>
        <v>5</v>
      </c>
      <c r="J48" s="4">
        <f t="shared" si="31"/>
        <v>0</v>
      </c>
      <c r="K48" s="4">
        <f t="shared" si="32"/>
        <v>0</v>
      </c>
      <c r="L48" s="4">
        <f t="shared" si="33"/>
        <v>0</v>
      </c>
      <c r="M48" s="4">
        <f t="shared" si="34"/>
        <v>0</v>
      </c>
      <c r="N48" s="4">
        <f t="shared" si="35"/>
        <v>0</v>
      </c>
      <c r="P48" s="4">
        <f>DUT!U49</f>
        <v>22.803999999999995</v>
      </c>
      <c r="Q48" s="4">
        <f t="shared" si="13"/>
        <v>0</v>
      </c>
      <c r="R48" s="4">
        <f t="shared" si="14"/>
        <v>0</v>
      </c>
      <c r="S48" s="4">
        <f t="shared" si="15"/>
        <v>5</v>
      </c>
      <c r="T48" s="4">
        <f t="shared" si="16"/>
        <v>0</v>
      </c>
      <c r="U48" s="4">
        <f t="shared" si="17"/>
        <v>0</v>
      </c>
      <c r="V48" s="4">
        <f t="shared" si="18"/>
        <v>0</v>
      </c>
      <c r="W48" s="4">
        <f t="shared" si="19"/>
        <v>0</v>
      </c>
      <c r="X48" s="4">
        <f t="shared" si="20"/>
        <v>5</v>
      </c>
      <c r="Y48" s="4">
        <f t="shared" si="21"/>
        <v>0</v>
      </c>
      <c r="Z48" s="4">
        <f t="shared" si="22"/>
        <v>0</v>
      </c>
      <c r="AA48" s="4">
        <f t="shared" si="23"/>
        <v>0</v>
      </c>
      <c r="AB48" s="4">
        <f t="shared" si="24"/>
        <v>0</v>
      </c>
      <c r="AC48" s="4">
        <f t="shared" si="25"/>
        <v>0</v>
      </c>
    </row>
    <row r="49" spans="1:29">
      <c r="A49" s="4">
        <f>DUT!T50</f>
        <v>23.331999999999994</v>
      </c>
      <c r="B49" s="4">
        <f t="shared" si="36"/>
        <v>0</v>
      </c>
      <c r="C49" s="4">
        <f t="shared" si="37"/>
        <v>0</v>
      </c>
      <c r="D49" s="4">
        <f t="shared" si="12"/>
        <v>5</v>
      </c>
      <c r="E49" s="4">
        <f t="shared" si="26"/>
        <v>0</v>
      </c>
      <c r="F49" s="4">
        <f t="shared" si="27"/>
        <v>0</v>
      </c>
      <c r="G49" s="4">
        <f t="shared" si="28"/>
        <v>0</v>
      </c>
      <c r="H49" s="4">
        <f t="shared" si="29"/>
        <v>0</v>
      </c>
      <c r="I49" s="4">
        <f t="shared" si="30"/>
        <v>5</v>
      </c>
      <c r="J49" s="4">
        <f t="shared" si="31"/>
        <v>0</v>
      </c>
      <c r="K49" s="4">
        <f t="shared" si="32"/>
        <v>0</v>
      </c>
      <c r="L49" s="4">
        <f t="shared" si="33"/>
        <v>0</v>
      </c>
      <c r="M49" s="4">
        <f t="shared" si="34"/>
        <v>0</v>
      </c>
      <c r="N49" s="4">
        <f t="shared" si="35"/>
        <v>0</v>
      </c>
      <c r="P49" s="4">
        <f>DUT!U50</f>
        <v>23.331999999999994</v>
      </c>
      <c r="Q49" s="4">
        <f t="shared" si="13"/>
        <v>0</v>
      </c>
      <c r="R49" s="4">
        <f t="shared" si="14"/>
        <v>0</v>
      </c>
      <c r="S49" s="4">
        <f t="shared" si="15"/>
        <v>5</v>
      </c>
      <c r="T49" s="4">
        <f t="shared" si="16"/>
        <v>0</v>
      </c>
      <c r="U49" s="4">
        <f t="shared" si="17"/>
        <v>0</v>
      </c>
      <c r="V49" s="4">
        <f t="shared" si="18"/>
        <v>0</v>
      </c>
      <c r="W49" s="4">
        <f t="shared" si="19"/>
        <v>0</v>
      </c>
      <c r="X49" s="4">
        <f t="shared" si="20"/>
        <v>5</v>
      </c>
      <c r="Y49" s="4">
        <f t="shared" si="21"/>
        <v>0</v>
      </c>
      <c r="Z49" s="4">
        <f t="shared" si="22"/>
        <v>0</v>
      </c>
      <c r="AA49" s="4">
        <f t="shared" si="23"/>
        <v>0</v>
      </c>
      <c r="AB49" s="4">
        <f t="shared" si="24"/>
        <v>0</v>
      </c>
      <c r="AC49" s="4">
        <f t="shared" si="25"/>
        <v>0</v>
      </c>
    </row>
    <row r="50" spans="1:29">
      <c r="A50" s="4">
        <f>DUT!T51</f>
        <v>23.859999999999992</v>
      </c>
      <c r="B50" s="4">
        <f t="shared" si="36"/>
        <v>0</v>
      </c>
      <c r="C50" s="4">
        <f t="shared" si="37"/>
        <v>0</v>
      </c>
      <c r="D50" s="4">
        <f t="shared" si="12"/>
        <v>5</v>
      </c>
      <c r="E50" s="4">
        <f t="shared" si="26"/>
        <v>0</v>
      </c>
      <c r="F50" s="4">
        <f t="shared" si="27"/>
        <v>0</v>
      </c>
      <c r="G50" s="4">
        <f t="shared" si="28"/>
        <v>0</v>
      </c>
      <c r="H50" s="4">
        <f t="shared" si="29"/>
        <v>0</v>
      </c>
      <c r="I50" s="4">
        <f t="shared" si="30"/>
        <v>5</v>
      </c>
      <c r="J50" s="4">
        <f t="shared" si="31"/>
        <v>0</v>
      </c>
      <c r="K50" s="4">
        <f t="shared" si="32"/>
        <v>0</v>
      </c>
      <c r="L50" s="4">
        <f t="shared" si="33"/>
        <v>0</v>
      </c>
      <c r="M50" s="4">
        <f t="shared" si="34"/>
        <v>0</v>
      </c>
      <c r="N50" s="4">
        <f t="shared" si="35"/>
        <v>0</v>
      </c>
      <c r="P50" s="4">
        <f>DUT!U51</f>
        <v>23.859999999999992</v>
      </c>
      <c r="Q50" s="4">
        <f t="shared" si="13"/>
        <v>0</v>
      </c>
      <c r="R50" s="4">
        <f t="shared" si="14"/>
        <v>0</v>
      </c>
      <c r="S50" s="4">
        <f t="shared" si="15"/>
        <v>5</v>
      </c>
      <c r="T50" s="4">
        <f t="shared" si="16"/>
        <v>0</v>
      </c>
      <c r="U50" s="4">
        <f t="shared" si="17"/>
        <v>0</v>
      </c>
      <c r="V50" s="4">
        <f t="shared" si="18"/>
        <v>0</v>
      </c>
      <c r="W50" s="4">
        <f t="shared" si="19"/>
        <v>0</v>
      </c>
      <c r="X50" s="4">
        <f t="shared" si="20"/>
        <v>5</v>
      </c>
      <c r="Y50" s="4">
        <f t="shared" si="21"/>
        <v>0</v>
      </c>
      <c r="Z50" s="4">
        <f t="shared" si="22"/>
        <v>0</v>
      </c>
      <c r="AA50" s="4">
        <f t="shared" si="23"/>
        <v>0</v>
      </c>
      <c r="AB50" s="4">
        <f t="shared" si="24"/>
        <v>0</v>
      </c>
      <c r="AC50" s="4">
        <f t="shared" si="25"/>
        <v>0</v>
      </c>
    </row>
    <row r="51" spans="1:29">
      <c r="A51" s="4">
        <f>DUT!T52</f>
        <v>24.387999999999991</v>
      </c>
      <c r="B51" s="4">
        <f t="shared" si="36"/>
        <v>0</v>
      </c>
      <c r="C51" s="4">
        <f t="shared" si="37"/>
        <v>0</v>
      </c>
      <c r="D51" s="4">
        <f t="shared" si="12"/>
        <v>5</v>
      </c>
      <c r="E51" s="4">
        <f t="shared" si="26"/>
        <v>0</v>
      </c>
      <c r="F51" s="4">
        <f t="shared" si="27"/>
        <v>0</v>
      </c>
      <c r="G51" s="4">
        <f t="shared" si="28"/>
        <v>0</v>
      </c>
      <c r="H51" s="4">
        <f t="shared" si="29"/>
        <v>0</v>
      </c>
      <c r="I51" s="4">
        <f t="shared" si="30"/>
        <v>5</v>
      </c>
      <c r="J51" s="4">
        <f t="shared" si="31"/>
        <v>0</v>
      </c>
      <c r="K51" s="4">
        <f t="shared" si="32"/>
        <v>0</v>
      </c>
      <c r="L51" s="4">
        <f t="shared" si="33"/>
        <v>0</v>
      </c>
      <c r="M51" s="4">
        <f t="shared" si="34"/>
        <v>0</v>
      </c>
      <c r="N51" s="4">
        <f t="shared" si="35"/>
        <v>0</v>
      </c>
      <c r="P51" s="4">
        <f>DUT!U52</f>
        <v>24.387999999999991</v>
      </c>
      <c r="Q51" s="4">
        <f t="shared" si="13"/>
        <v>0</v>
      </c>
      <c r="R51" s="4">
        <f t="shared" si="14"/>
        <v>0</v>
      </c>
      <c r="S51" s="4">
        <f t="shared" si="15"/>
        <v>5</v>
      </c>
      <c r="T51" s="4">
        <f t="shared" si="16"/>
        <v>0</v>
      </c>
      <c r="U51" s="4">
        <f t="shared" si="17"/>
        <v>0</v>
      </c>
      <c r="V51" s="4">
        <f t="shared" si="18"/>
        <v>0</v>
      </c>
      <c r="W51" s="4">
        <f t="shared" si="19"/>
        <v>0</v>
      </c>
      <c r="X51" s="4">
        <f t="shared" si="20"/>
        <v>5</v>
      </c>
      <c r="Y51" s="4">
        <f t="shared" si="21"/>
        <v>0</v>
      </c>
      <c r="Z51" s="4">
        <f t="shared" si="22"/>
        <v>0</v>
      </c>
      <c r="AA51" s="4">
        <f t="shared" si="23"/>
        <v>0</v>
      </c>
      <c r="AB51" s="4">
        <f t="shared" si="24"/>
        <v>0</v>
      </c>
      <c r="AC51" s="4">
        <f t="shared" si="25"/>
        <v>0</v>
      </c>
    </row>
    <row r="52" spans="1:29">
      <c r="A52" s="4">
        <f>DUT!T53</f>
        <v>24.91599999999999</v>
      </c>
      <c r="B52" s="4">
        <f t="shared" si="36"/>
        <v>0</v>
      </c>
      <c r="C52" s="4">
        <f t="shared" si="37"/>
        <v>0</v>
      </c>
      <c r="D52" s="4">
        <f t="shared" si="12"/>
        <v>5</v>
      </c>
      <c r="E52" s="4">
        <f t="shared" si="26"/>
        <v>0</v>
      </c>
      <c r="F52" s="4">
        <f t="shared" si="27"/>
        <v>0</v>
      </c>
      <c r="G52" s="4">
        <f t="shared" si="28"/>
        <v>0</v>
      </c>
      <c r="H52" s="4">
        <f t="shared" si="29"/>
        <v>0</v>
      </c>
      <c r="I52" s="4">
        <f t="shared" si="30"/>
        <v>5</v>
      </c>
      <c r="J52" s="4">
        <f t="shared" si="31"/>
        <v>0</v>
      </c>
      <c r="K52" s="4">
        <f t="shared" si="32"/>
        <v>0</v>
      </c>
      <c r="L52" s="4">
        <f t="shared" si="33"/>
        <v>0</v>
      </c>
      <c r="M52" s="4">
        <f t="shared" si="34"/>
        <v>0</v>
      </c>
      <c r="N52" s="4">
        <f t="shared" si="35"/>
        <v>0</v>
      </c>
      <c r="P52" s="4">
        <f>DUT!U53</f>
        <v>24.91599999999999</v>
      </c>
      <c r="Q52" s="4">
        <f t="shared" si="13"/>
        <v>0</v>
      </c>
      <c r="R52" s="4">
        <f t="shared" si="14"/>
        <v>0</v>
      </c>
      <c r="S52" s="4">
        <f t="shared" si="15"/>
        <v>5</v>
      </c>
      <c r="T52" s="4">
        <f t="shared" si="16"/>
        <v>0</v>
      </c>
      <c r="U52" s="4">
        <f t="shared" si="17"/>
        <v>0</v>
      </c>
      <c r="V52" s="4">
        <f t="shared" si="18"/>
        <v>0</v>
      </c>
      <c r="W52" s="4">
        <f t="shared" si="19"/>
        <v>0</v>
      </c>
      <c r="X52" s="4">
        <f t="shared" si="20"/>
        <v>5</v>
      </c>
      <c r="Y52" s="4">
        <f t="shared" si="21"/>
        <v>0</v>
      </c>
      <c r="Z52" s="4">
        <f t="shared" si="22"/>
        <v>0</v>
      </c>
      <c r="AA52" s="4">
        <f t="shared" si="23"/>
        <v>0</v>
      </c>
      <c r="AB52" s="4">
        <f t="shared" si="24"/>
        <v>0</v>
      </c>
      <c r="AC52" s="4">
        <f t="shared" si="25"/>
        <v>0</v>
      </c>
    </row>
    <row r="53" spans="1:29">
      <c r="A53" s="4">
        <f>DUT!T54</f>
        <v>25.443999999999988</v>
      </c>
      <c r="B53" s="4">
        <f t="shared" si="36"/>
        <v>0</v>
      </c>
      <c r="C53" s="4">
        <f t="shared" si="37"/>
        <v>0</v>
      </c>
      <c r="D53" s="4">
        <f t="shared" si="12"/>
        <v>5</v>
      </c>
      <c r="E53" s="4">
        <f t="shared" si="26"/>
        <v>0</v>
      </c>
      <c r="F53" s="4">
        <f t="shared" si="27"/>
        <v>0</v>
      </c>
      <c r="G53" s="4">
        <f t="shared" si="28"/>
        <v>0</v>
      </c>
      <c r="H53" s="4">
        <f t="shared" si="29"/>
        <v>0</v>
      </c>
      <c r="I53" s="4">
        <f t="shared" si="30"/>
        <v>5</v>
      </c>
      <c r="J53" s="4">
        <f t="shared" si="31"/>
        <v>0</v>
      </c>
      <c r="K53" s="4">
        <f t="shared" si="32"/>
        <v>0</v>
      </c>
      <c r="L53" s="4">
        <f t="shared" si="33"/>
        <v>0</v>
      </c>
      <c r="M53" s="4">
        <f t="shared" si="34"/>
        <v>0</v>
      </c>
      <c r="N53" s="4">
        <f t="shared" si="35"/>
        <v>0</v>
      </c>
      <c r="P53" s="4">
        <f>DUT!U54</f>
        <v>25.443999999999988</v>
      </c>
      <c r="Q53" s="4">
        <f t="shared" si="13"/>
        <v>0</v>
      </c>
      <c r="R53" s="4">
        <f t="shared" si="14"/>
        <v>0</v>
      </c>
      <c r="S53" s="4">
        <f t="shared" si="15"/>
        <v>5</v>
      </c>
      <c r="T53" s="4">
        <f t="shared" si="16"/>
        <v>0</v>
      </c>
      <c r="U53" s="4">
        <f t="shared" si="17"/>
        <v>0</v>
      </c>
      <c r="V53" s="4">
        <f t="shared" si="18"/>
        <v>0</v>
      </c>
      <c r="W53" s="4">
        <f t="shared" si="19"/>
        <v>0</v>
      </c>
      <c r="X53" s="4">
        <f t="shared" si="20"/>
        <v>5</v>
      </c>
      <c r="Y53" s="4">
        <f t="shared" si="21"/>
        <v>0</v>
      </c>
      <c r="Z53" s="4">
        <f t="shared" si="22"/>
        <v>0</v>
      </c>
      <c r="AA53" s="4">
        <f t="shared" si="23"/>
        <v>0</v>
      </c>
      <c r="AB53" s="4">
        <f t="shared" si="24"/>
        <v>0</v>
      </c>
      <c r="AC53" s="4">
        <f t="shared" si="25"/>
        <v>0</v>
      </c>
    </row>
    <row r="54" spans="1:29">
      <c r="A54" s="4">
        <f>DUT!T55</f>
        <v>25.971999999999987</v>
      </c>
      <c r="B54" s="4">
        <f t="shared" si="36"/>
        <v>0</v>
      </c>
      <c r="C54" s="4">
        <f t="shared" si="37"/>
        <v>0</v>
      </c>
      <c r="D54" s="4">
        <f t="shared" si="12"/>
        <v>5</v>
      </c>
      <c r="E54" s="4">
        <f t="shared" si="26"/>
        <v>0</v>
      </c>
      <c r="F54" s="4">
        <f t="shared" si="27"/>
        <v>0</v>
      </c>
      <c r="G54" s="4">
        <f t="shared" si="28"/>
        <v>0</v>
      </c>
      <c r="H54" s="4">
        <f t="shared" si="29"/>
        <v>0</v>
      </c>
      <c r="I54" s="4">
        <f t="shared" si="30"/>
        <v>5</v>
      </c>
      <c r="J54" s="4">
        <f t="shared" si="31"/>
        <v>0</v>
      </c>
      <c r="K54" s="4">
        <f t="shared" si="32"/>
        <v>0</v>
      </c>
      <c r="L54" s="4">
        <f t="shared" si="33"/>
        <v>0</v>
      </c>
      <c r="M54" s="4">
        <f t="shared" si="34"/>
        <v>0</v>
      </c>
      <c r="N54" s="4">
        <f t="shared" si="35"/>
        <v>0</v>
      </c>
      <c r="P54" s="4">
        <f>DUT!U55</f>
        <v>25.971999999999987</v>
      </c>
      <c r="Q54" s="4">
        <f t="shared" si="13"/>
        <v>0</v>
      </c>
      <c r="R54" s="4">
        <f t="shared" si="14"/>
        <v>0</v>
      </c>
      <c r="S54" s="4">
        <f t="shared" si="15"/>
        <v>5</v>
      </c>
      <c r="T54" s="4">
        <f t="shared" si="16"/>
        <v>0</v>
      </c>
      <c r="U54" s="4">
        <f t="shared" si="17"/>
        <v>0</v>
      </c>
      <c r="V54" s="4">
        <f t="shared" si="18"/>
        <v>0</v>
      </c>
      <c r="W54" s="4">
        <f t="shared" si="19"/>
        <v>0</v>
      </c>
      <c r="X54" s="4">
        <f t="shared" si="20"/>
        <v>5</v>
      </c>
      <c r="Y54" s="4">
        <f t="shared" si="21"/>
        <v>0</v>
      </c>
      <c r="Z54" s="4">
        <f t="shared" si="22"/>
        <v>0</v>
      </c>
      <c r="AA54" s="4">
        <f t="shared" si="23"/>
        <v>0</v>
      </c>
      <c r="AB54" s="4">
        <f t="shared" si="24"/>
        <v>0</v>
      </c>
      <c r="AC54" s="4">
        <f t="shared" si="25"/>
        <v>0</v>
      </c>
    </row>
    <row r="55" spans="1:29">
      <c r="A55" s="4">
        <f>DUT!T56</f>
        <v>26.499999999999986</v>
      </c>
      <c r="B55" s="4">
        <f t="shared" si="36"/>
        <v>0</v>
      </c>
      <c r="C55" s="4">
        <f t="shared" si="37"/>
        <v>0</v>
      </c>
      <c r="D55" s="4">
        <f t="shared" si="12"/>
        <v>5</v>
      </c>
      <c r="E55" s="4">
        <f t="shared" si="26"/>
        <v>0</v>
      </c>
      <c r="F55" s="4">
        <f t="shared" si="27"/>
        <v>0</v>
      </c>
      <c r="G55" s="4">
        <f t="shared" si="28"/>
        <v>0</v>
      </c>
      <c r="H55" s="4">
        <f t="shared" si="29"/>
        <v>0</v>
      </c>
      <c r="I55" s="4">
        <f t="shared" si="30"/>
        <v>5</v>
      </c>
      <c r="J55" s="4">
        <f t="shared" si="31"/>
        <v>0</v>
      </c>
      <c r="K55" s="4">
        <f t="shared" si="32"/>
        <v>0</v>
      </c>
      <c r="L55" s="4">
        <f t="shared" si="33"/>
        <v>0</v>
      </c>
      <c r="M55" s="4">
        <f t="shared" si="34"/>
        <v>0</v>
      </c>
      <c r="N55" s="4">
        <f t="shared" si="35"/>
        <v>0</v>
      </c>
      <c r="P55" s="4">
        <f>DUT!U56</f>
        <v>26.499999999999986</v>
      </c>
      <c r="Q55" s="4">
        <f t="shared" si="13"/>
        <v>0</v>
      </c>
      <c r="R55" s="4">
        <f t="shared" si="14"/>
        <v>0</v>
      </c>
      <c r="S55" s="4">
        <f t="shared" si="15"/>
        <v>5</v>
      </c>
      <c r="T55" s="4">
        <f t="shared" si="16"/>
        <v>0</v>
      </c>
      <c r="U55" s="4">
        <f t="shared" si="17"/>
        <v>0</v>
      </c>
      <c r="V55" s="4">
        <f t="shared" si="18"/>
        <v>0</v>
      </c>
      <c r="W55" s="4">
        <f t="shared" si="19"/>
        <v>0</v>
      </c>
      <c r="X55" s="4">
        <f t="shared" si="20"/>
        <v>5</v>
      </c>
      <c r="Y55" s="4">
        <f t="shared" si="21"/>
        <v>0</v>
      </c>
      <c r="Z55" s="4">
        <f t="shared" si="22"/>
        <v>0</v>
      </c>
      <c r="AA55" s="4">
        <f t="shared" si="23"/>
        <v>0</v>
      </c>
      <c r="AB55" s="4">
        <f t="shared" si="24"/>
        <v>0</v>
      </c>
      <c r="AC55" s="4">
        <f t="shared" si="25"/>
        <v>0</v>
      </c>
    </row>
    <row r="56" spans="1:29">
      <c r="A56" s="4">
        <f>DUT!T57</f>
        <v>26.5001</v>
      </c>
      <c r="B56" s="4">
        <f t="shared" si="36"/>
        <v>0</v>
      </c>
      <c r="C56" s="4">
        <f t="shared" si="37"/>
        <v>0</v>
      </c>
      <c r="D56" s="4">
        <f t="shared" si="12"/>
        <v>5</v>
      </c>
      <c r="E56" s="4">
        <f t="shared" si="26"/>
        <v>0</v>
      </c>
      <c r="F56" s="4">
        <f t="shared" si="27"/>
        <v>0</v>
      </c>
      <c r="G56" s="4">
        <f t="shared" si="28"/>
        <v>0</v>
      </c>
      <c r="H56" s="4">
        <f t="shared" si="29"/>
        <v>0</v>
      </c>
      <c r="I56" s="4">
        <f t="shared" si="30"/>
        <v>5</v>
      </c>
      <c r="J56" s="4">
        <f t="shared" si="31"/>
        <v>0</v>
      </c>
      <c r="K56" s="4">
        <f t="shared" si="32"/>
        <v>0</v>
      </c>
      <c r="L56" s="4">
        <f t="shared" si="33"/>
        <v>0</v>
      </c>
      <c r="M56" s="4">
        <f t="shared" si="34"/>
        <v>0</v>
      </c>
      <c r="N56" s="4">
        <f t="shared" si="35"/>
        <v>0</v>
      </c>
      <c r="P56" s="4">
        <f>DUT!U57</f>
        <v>26.5001</v>
      </c>
      <c r="Q56" s="4">
        <f t="shared" si="13"/>
        <v>0</v>
      </c>
      <c r="R56" s="4">
        <f t="shared" si="14"/>
        <v>0</v>
      </c>
      <c r="S56" s="4">
        <f t="shared" si="15"/>
        <v>5</v>
      </c>
      <c r="T56" s="4">
        <f t="shared" si="16"/>
        <v>0</v>
      </c>
      <c r="U56" s="4">
        <f t="shared" si="17"/>
        <v>0</v>
      </c>
      <c r="V56" s="4">
        <f t="shared" si="18"/>
        <v>0</v>
      </c>
      <c r="W56" s="4">
        <f t="shared" si="19"/>
        <v>0</v>
      </c>
      <c r="X56" s="4">
        <f t="shared" si="20"/>
        <v>5</v>
      </c>
      <c r="Y56" s="4">
        <f t="shared" si="21"/>
        <v>0</v>
      </c>
      <c r="Z56" s="4">
        <f t="shared" si="22"/>
        <v>0</v>
      </c>
      <c r="AA56" s="4">
        <f t="shared" si="23"/>
        <v>0</v>
      </c>
      <c r="AB56" s="4">
        <f t="shared" si="24"/>
        <v>0</v>
      </c>
      <c r="AC56" s="4">
        <f t="shared" si="25"/>
        <v>0</v>
      </c>
    </row>
    <row r="57" spans="1:29">
      <c r="A57" s="4">
        <f>DUT!T58</f>
        <v>26.5001</v>
      </c>
      <c r="B57" s="4">
        <f t="shared" si="36"/>
        <v>0</v>
      </c>
      <c r="C57" s="4">
        <f t="shared" si="37"/>
        <v>0</v>
      </c>
      <c r="D57" s="4">
        <f t="shared" si="12"/>
        <v>5</v>
      </c>
      <c r="E57" s="4">
        <f t="shared" si="26"/>
        <v>0</v>
      </c>
      <c r="F57" s="4">
        <f t="shared" si="27"/>
        <v>0</v>
      </c>
      <c r="G57" s="4">
        <f t="shared" si="28"/>
        <v>0</v>
      </c>
      <c r="H57" s="4">
        <f t="shared" si="29"/>
        <v>0</v>
      </c>
      <c r="I57" s="4">
        <f t="shared" si="30"/>
        <v>5</v>
      </c>
      <c r="J57" s="4">
        <f t="shared" si="31"/>
        <v>0</v>
      </c>
      <c r="K57" s="4">
        <f t="shared" si="32"/>
        <v>0</v>
      </c>
      <c r="L57" s="4">
        <f t="shared" si="33"/>
        <v>0</v>
      </c>
      <c r="M57" s="4">
        <f t="shared" si="34"/>
        <v>0</v>
      </c>
      <c r="N57" s="4">
        <f t="shared" si="35"/>
        <v>0</v>
      </c>
      <c r="P57" s="4">
        <f>DUT!U58</f>
        <v>26.5001</v>
      </c>
      <c r="Q57" s="4">
        <f t="shared" si="13"/>
        <v>0</v>
      </c>
      <c r="R57" s="4">
        <f t="shared" si="14"/>
        <v>0</v>
      </c>
      <c r="S57" s="4">
        <f t="shared" si="15"/>
        <v>5</v>
      </c>
      <c r="T57" s="4">
        <f t="shared" si="16"/>
        <v>0</v>
      </c>
      <c r="U57" s="4">
        <f t="shared" si="17"/>
        <v>0</v>
      </c>
      <c r="V57" s="4">
        <f t="shared" si="18"/>
        <v>0</v>
      </c>
      <c r="W57" s="4">
        <f t="shared" si="19"/>
        <v>0</v>
      </c>
      <c r="X57" s="4">
        <f t="shared" si="20"/>
        <v>5</v>
      </c>
      <c r="Y57" s="4">
        <f t="shared" si="21"/>
        <v>0</v>
      </c>
      <c r="Z57" s="4">
        <f t="shared" si="22"/>
        <v>0</v>
      </c>
      <c r="AA57" s="4">
        <f t="shared" si="23"/>
        <v>0</v>
      </c>
      <c r="AB57" s="4">
        <f t="shared" si="24"/>
        <v>0</v>
      </c>
      <c r="AC57" s="4">
        <f t="shared" si="25"/>
        <v>0</v>
      </c>
    </row>
    <row r="58" spans="1:29">
      <c r="A58" s="4">
        <f>DUT!T59</f>
        <v>26.5001</v>
      </c>
      <c r="B58" s="4">
        <f t="shared" si="36"/>
        <v>0</v>
      </c>
      <c r="C58" s="4">
        <f t="shared" si="37"/>
        <v>0</v>
      </c>
      <c r="D58" s="4">
        <f t="shared" si="12"/>
        <v>5</v>
      </c>
      <c r="E58" s="4">
        <f t="shared" si="26"/>
        <v>0</v>
      </c>
      <c r="F58" s="4">
        <f t="shared" si="27"/>
        <v>0</v>
      </c>
      <c r="G58" s="4">
        <f t="shared" si="28"/>
        <v>0</v>
      </c>
      <c r="H58" s="4">
        <f t="shared" si="29"/>
        <v>0</v>
      </c>
      <c r="I58" s="4">
        <f t="shared" si="30"/>
        <v>5</v>
      </c>
      <c r="J58" s="4">
        <f t="shared" si="31"/>
        <v>0</v>
      </c>
      <c r="K58" s="4">
        <f t="shared" si="32"/>
        <v>0</v>
      </c>
      <c r="L58" s="4">
        <f t="shared" si="33"/>
        <v>0</v>
      </c>
      <c r="M58" s="4">
        <f t="shared" si="34"/>
        <v>0</v>
      </c>
      <c r="N58" s="4">
        <f t="shared" si="35"/>
        <v>0</v>
      </c>
      <c r="P58" s="4">
        <f>DUT!U59</f>
        <v>26.5001</v>
      </c>
      <c r="Q58" s="4">
        <f t="shared" si="13"/>
        <v>0</v>
      </c>
      <c r="R58" s="4">
        <f t="shared" si="14"/>
        <v>0</v>
      </c>
      <c r="S58" s="4">
        <f t="shared" si="15"/>
        <v>5</v>
      </c>
      <c r="T58" s="4">
        <f t="shared" si="16"/>
        <v>0</v>
      </c>
      <c r="U58" s="4">
        <f t="shared" si="17"/>
        <v>0</v>
      </c>
      <c r="V58" s="4">
        <f t="shared" si="18"/>
        <v>0</v>
      </c>
      <c r="W58" s="4">
        <f t="shared" si="19"/>
        <v>0</v>
      </c>
      <c r="X58" s="4">
        <f t="shared" si="20"/>
        <v>5</v>
      </c>
      <c r="Y58" s="4">
        <f t="shared" si="21"/>
        <v>0</v>
      </c>
      <c r="Z58" s="4">
        <f t="shared" si="22"/>
        <v>0</v>
      </c>
      <c r="AA58" s="4">
        <f t="shared" si="23"/>
        <v>0</v>
      </c>
      <c r="AB58" s="4">
        <f t="shared" si="24"/>
        <v>0</v>
      </c>
      <c r="AC58" s="4">
        <f t="shared" si="25"/>
        <v>0</v>
      </c>
    </row>
    <row r="59" spans="1:29">
      <c r="A59" s="4">
        <f>DUT!T60</f>
        <v>26.5001</v>
      </c>
      <c r="B59" s="4">
        <f t="shared" si="36"/>
        <v>0</v>
      </c>
      <c r="C59" s="4">
        <f t="shared" si="37"/>
        <v>0</v>
      </c>
      <c r="D59" s="4">
        <f t="shared" si="12"/>
        <v>5</v>
      </c>
      <c r="E59" s="4">
        <f t="shared" si="26"/>
        <v>0</v>
      </c>
      <c r="F59" s="4">
        <f t="shared" si="27"/>
        <v>0</v>
      </c>
      <c r="G59" s="4">
        <f t="shared" si="28"/>
        <v>0</v>
      </c>
      <c r="H59" s="4">
        <f t="shared" si="29"/>
        <v>0</v>
      </c>
      <c r="I59" s="4">
        <f t="shared" si="30"/>
        <v>5</v>
      </c>
      <c r="J59" s="4">
        <f t="shared" si="31"/>
        <v>0</v>
      </c>
      <c r="K59" s="4">
        <f t="shared" si="32"/>
        <v>0</v>
      </c>
      <c r="L59" s="4">
        <f t="shared" si="33"/>
        <v>0</v>
      </c>
      <c r="M59" s="4">
        <f t="shared" si="34"/>
        <v>0</v>
      </c>
      <c r="N59" s="4">
        <f t="shared" si="35"/>
        <v>0</v>
      </c>
      <c r="P59" s="4">
        <f>DUT!U60</f>
        <v>26.5001</v>
      </c>
      <c r="Q59" s="4">
        <f t="shared" si="13"/>
        <v>0</v>
      </c>
      <c r="R59" s="4">
        <f t="shared" si="14"/>
        <v>0</v>
      </c>
      <c r="S59" s="4">
        <f t="shared" si="15"/>
        <v>5</v>
      </c>
      <c r="T59" s="4">
        <f t="shared" si="16"/>
        <v>0</v>
      </c>
      <c r="U59" s="4">
        <f t="shared" si="17"/>
        <v>0</v>
      </c>
      <c r="V59" s="4">
        <f t="shared" si="18"/>
        <v>0</v>
      </c>
      <c r="W59" s="4">
        <f t="shared" si="19"/>
        <v>0</v>
      </c>
      <c r="X59" s="4">
        <f t="shared" si="20"/>
        <v>5</v>
      </c>
      <c r="Y59" s="4">
        <f t="shared" si="21"/>
        <v>0</v>
      </c>
      <c r="Z59" s="4">
        <f t="shared" si="22"/>
        <v>0</v>
      </c>
      <c r="AA59" s="4">
        <f t="shared" si="23"/>
        <v>0</v>
      </c>
      <c r="AB59" s="4">
        <f t="shared" si="24"/>
        <v>0</v>
      </c>
      <c r="AC59" s="4">
        <f t="shared" si="25"/>
        <v>0</v>
      </c>
    </row>
    <row r="60" spans="1:29">
      <c r="A60" s="4">
        <f>DUT!T61</f>
        <v>26.5001</v>
      </c>
      <c r="B60" s="4">
        <f t="shared" si="36"/>
        <v>0</v>
      </c>
      <c r="C60" s="4">
        <f t="shared" si="37"/>
        <v>0</v>
      </c>
      <c r="D60" s="4">
        <f t="shared" si="12"/>
        <v>5</v>
      </c>
      <c r="E60" s="4">
        <f t="shared" si="26"/>
        <v>0</v>
      </c>
      <c r="F60" s="4">
        <f t="shared" si="27"/>
        <v>0</v>
      </c>
      <c r="G60" s="4">
        <f t="shared" si="28"/>
        <v>0</v>
      </c>
      <c r="H60" s="4">
        <f t="shared" si="29"/>
        <v>0</v>
      </c>
      <c r="I60" s="4">
        <f t="shared" si="30"/>
        <v>5</v>
      </c>
      <c r="J60" s="4">
        <f t="shared" si="31"/>
        <v>0</v>
      </c>
      <c r="K60" s="4">
        <f t="shared" si="32"/>
        <v>0</v>
      </c>
      <c r="L60" s="4">
        <f t="shared" si="33"/>
        <v>0</v>
      </c>
      <c r="M60" s="4">
        <f t="shared" si="34"/>
        <v>0</v>
      </c>
      <c r="N60" s="4">
        <f t="shared" si="35"/>
        <v>0</v>
      </c>
      <c r="P60" s="4">
        <f>DUT!U61</f>
        <v>26.5001</v>
      </c>
      <c r="Q60" s="4">
        <f t="shared" si="13"/>
        <v>0</v>
      </c>
      <c r="R60" s="4">
        <f t="shared" si="14"/>
        <v>0</v>
      </c>
      <c r="S60" s="4">
        <f t="shared" si="15"/>
        <v>5</v>
      </c>
      <c r="T60" s="4">
        <f t="shared" si="16"/>
        <v>0</v>
      </c>
      <c r="U60" s="4">
        <f t="shared" si="17"/>
        <v>0</v>
      </c>
      <c r="V60" s="4">
        <f t="shared" si="18"/>
        <v>0</v>
      </c>
      <c r="W60" s="4">
        <f t="shared" si="19"/>
        <v>0</v>
      </c>
      <c r="X60" s="4">
        <f t="shared" si="20"/>
        <v>5</v>
      </c>
      <c r="Y60" s="4">
        <f t="shared" si="21"/>
        <v>0</v>
      </c>
      <c r="Z60" s="4">
        <f t="shared" si="22"/>
        <v>0</v>
      </c>
      <c r="AA60" s="4">
        <f t="shared" si="23"/>
        <v>0</v>
      </c>
      <c r="AB60" s="4">
        <f t="shared" si="24"/>
        <v>0</v>
      </c>
      <c r="AC60" s="4">
        <f t="shared" si="25"/>
        <v>0</v>
      </c>
    </row>
    <row r="61" spans="1:29">
      <c r="A61" s="4">
        <f>DUT!T62</f>
        <v>26.5001</v>
      </c>
      <c r="B61" s="4">
        <f t="shared" si="36"/>
        <v>0</v>
      </c>
      <c r="C61" s="4">
        <f t="shared" si="37"/>
        <v>0</v>
      </c>
      <c r="D61" s="4">
        <f t="shared" si="12"/>
        <v>5</v>
      </c>
      <c r="E61" s="4">
        <f t="shared" si="26"/>
        <v>0</v>
      </c>
      <c r="F61" s="4">
        <f t="shared" si="27"/>
        <v>0</v>
      </c>
      <c r="G61" s="4">
        <f t="shared" si="28"/>
        <v>0</v>
      </c>
      <c r="H61" s="4">
        <f t="shared" si="29"/>
        <v>0</v>
      </c>
      <c r="I61" s="4">
        <f t="shared" si="30"/>
        <v>5</v>
      </c>
      <c r="J61" s="4">
        <f t="shared" si="31"/>
        <v>0</v>
      </c>
      <c r="K61" s="4">
        <f t="shared" si="32"/>
        <v>0</v>
      </c>
      <c r="L61" s="4">
        <f t="shared" si="33"/>
        <v>0</v>
      </c>
      <c r="M61" s="4">
        <f t="shared" si="34"/>
        <v>0</v>
      </c>
      <c r="N61" s="4">
        <f t="shared" si="35"/>
        <v>0</v>
      </c>
      <c r="P61" s="4">
        <f>DUT!U62</f>
        <v>26.5001</v>
      </c>
      <c r="Q61" s="4">
        <f t="shared" si="13"/>
        <v>0</v>
      </c>
      <c r="R61" s="4">
        <f t="shared" si="14"/>
        <v>0</v>
      </c>
      <c r="S61" s="4">
        <f t="shared" si="15"/>
        <v>5</v>
      </c>
      <c r="T61" s="4">
        <f t="shared" si="16"/>
        <v>0</v>
      </c>
      <c r="U61" s="4">
        <f t="shared" si="17"/>
        <v>0</v>
      </c>
      <c r="V61" s="4">
        <f t="shared" si="18"/>
        <v>0</v>
      </c>
      <c r="W61" s="4">
        <f t="shared" si="19"/>
        <v>0</v>
      </c>
      <c r="X61" s="4">
        <f t="shared" si="20"/>
        <v>5</v>
      </c>
      <c r="Y61" s="4">
        <f t="shared" si="21"/>
        <v>0</v>
      </c>
      <c r="Z61" s="4">
        <f t="shared" si="22"/>
        <v>0</v>
      </c>
      <c r="AA61" s="4">
        <f t="shared" si="23"/>
        <v>0</v>
      </c>
      <c r="AB61" s="4">
        <f t="shared" si="24"/>
        <v>0</v>
      </c>
      <c r="AC61" s="4">
        <f t="shared" si="25"/>
        <v>0</v>
      </c>
    </row>
    <row r="62" spans="1:29">
      <c r="A62" s="4">
        <f>DUT!T63</f>
        <v>26.5001</v>
      </c>
      <c r="B62" s="4">
        <f t="shared" si="36"/>
        <v>0</v>
      </c>
      <c r="C62" s="4">
        <f t="shared" si="37"/>
        <v>0</v>
      </c>
      <c r="D62" s="4">
        <f t="shared" si="12"/>
        <v>5</v>
      </c>
      <c r="E62" s="4">
        <f t="shared" si="26"/>
        <v>0</v>
      </c>
      <c r="F62" s="4">
        <f t="shared" si="27"/>
        <v>0</v>
      </c>
      <c r="G62" s="4">
        <f t="shared" si="28"/>
        <v>0</v>
      </c>
      <c r="H62" s="4">
        <f t="shared" si="29"/>
        <v>0</v>
      </c>
      <c r="I62" s="4">
        <f t="shared" si="30"/>
        <v>5</v>
      </c>
      <c r="J62" s="4">
        <f t="shared" si="31"/>
        <v>0</v>
      </c>
      <c r="K62" s="4">
        <f t="shared" si="32"/>
        <v>0</v>
      </c>
      <c r="L62" s="4">
        <f t="shared" si="33"/>
        <v>0</v>
      </c>
      <c r="M62" s="4">
        <f t="shared" si="34"/>
        <v>0</v>
      </c>
      <c r="N62" s="4">
        <f t="shared" si="35"/>
        <v>0</v>
      </c>
      <c r="P62" s="4">
        <f>DUT!U63</f>
        <v>26.5001</v>
      </c>
      <c r="Q62" s="4">
        <f t="shared" si="13"/>
        <v>0</v>
      </c>
      <c r="R62" s="4">
        <f t="shared" si="14"/>
        <v>0</v>
      </c>
      <c r="S62" s="4">
        <f t="shared" si="15"/>
        <v>5</v>
      </c>
      <c r="T62" s="4">
        <f t="shared" si="16"/>
        <v>0</v>
      </c>
      <c r="U62" s="4">
        <f t="shared" si="17"/>
        <v>0</v>
      </c>
      <c r="V62" s="4">
        <f t="shared" si="18"/>
        <v>0</v>
      </c>
      <c r="W62" s="4">
        <f t="shared" si="19"/>
        <v>0</v>
      </c>
      <c r="X62" s="4">
        <f t="shared" si="20"/>
        <v>5</v>
      </c>
      <c r="Y62" s="4">
        <f t="shared" si="21"/>
        <v>0</v>
      </c>
      <c r="Z62" s="4">
        <f t="shared" si="22"/>
        <v>0</v>
      </c>
      <c r="AA62" s="4">
        <f t="shared" si="23"/>
        <v>0</v>
      </c>
      <c r="AB62" s="4">
        <f t="shared" si="24"/>
        <v>0</v>
      </c>
      <c r="AC62" s="4">
        <f t="shared" si="25"/>
        <v>0</v>
      </c>
    </row>
    <row r="63" spans="1:29">
      <c r="A63" s="4">
        <f>DUT!T64</f>
        <v>26.5001</v>
      </c>
      <c r="B63" s="4">
        <f t="shared" si="36"/>
        <v>0</v>
      </c>
      <c r="C63" s="4">
        <f t="shared" si="37"/>
        <v>0</v>
      </c>
      <c r="D63" s="4">
        <f t="shared" si="12"/>
        <v>5</v>
      </c>
      <c r="E63" s="4">
        <f t="shared" si="26"/>
        <v>0</v>
      </c>
      <c r="F63" s="4">
        <f t="shared" si="27"/>
        <v>0</v>
      </c>
      <c r="G63" s="4">
        <f t="shared" si="28"/>
        <v>0</v>
      </c>
      <c r="H63" s="4">
        <f t="shared" si="29"/>
        <v>0</v>
      </c>
      <c r="I63" s="4">
        <f t="shared" si="30"/>
        <v>5</v>
      </c>
      <c r="J63" s="4">
        <f t="shared" si="31"/>
        <v>0</v>
      </c>
      <c r="K63" s="4">
        <f t="shared" si="32"/>
        <v>0</v>
      </c>
      <c r="L63" s="4">
        <f t="shared" si="33"/>
        <v>0</v>
      </c>
      <c r="M63" s="4">
        <f t="shared" si="34"/>
        <v>0</v>
      </c>
      <c r="N63" s="4">
        <f t="shared" si="35"/>
        <v>0</v>
      </c>
      <c r="P63" s="4">
        <f>DUT!U64</f>
        <v>26.5001</v>
      </c>
      <c r="Q63" s="4">
        <f t="shared" si="13"/>
        <v>0</v>
      </c>
      <c r="R63" s="4">
        <f t="shared" si="14"/>
        <v>0</v>
      </c>
      <c r="S63" s="4">
        <f t="shared" si="15"/>
        <v>5</v>
      </c>
      <c r="T63" s="4">
        <f t="shared" si="16"/>
        <v>0</v>
      </c>
      <c r="U63" s="4">
        <f t="shared" si="17"/>
        <v>0</v>
      </c>
      <c r="V63" s="4">
        <f t="shared" si="18"/>
        <v>0</v>
      </c>
      <c r="W63" s="4">
        <f t="shared" si="19"/>
        <v>0</v>
      </c>
      <c r="X63" s="4">
        <f t="shared" si="20"/>
        <v>5</v>
      </c>
      <c r="Y63" s="4">
        <f t="shared" si="21"/>
        <v>0</v>
      </c>
      <c r="Z63" s="4">
        <f t="shared" si="22"/>
        <v>0</v>
      </c>
      <c r="AA63" s="4">
        <f t="shared" si="23"/>
        <v>0</v>
      </c>
      <c r="AB63" s="4">
        <f t="shared" si="24"/>
        <v>0</v>
      </c>
      <c r="AC63" s="4">
        <f t="shared" si="25"/>
        <v>0</v>
      </c>
    </row>
    <row r="64" spans="1:29">
      <c r="A64" s="4">
        <f>DUT!T65</f>
        <v>26.5001</v>
      </c>
      <c r="B64" s="4">
        <f t="shared" si="36"/>
        <v>0</v>
      </c>
      <c r="C64" s="4">
        <f t="shared" si="37"/>
        <v>0</v>
      </c>
      <c r="D64" s="4">
        <f t="shared" si="12"/>
        <v>5</v>
      </c>
      <c r="E64" s="4">
        <f t="shared" si="26"/>
        <v>0</v>
      </c>
      <c r="F64" s="4">
        <f t="shared" si="27"/>
        <v>0</v>
      </c>
      <c r="G64" s="4">
        <f t="shared" si="28"/>
        <v>0</v>
      </c>
      <c r="H64" s="4">
        <f t="shared" si="29"/>
        <v>0</v>
      </c>
      <c r="I64" s="4">
        <f t="shared" si="30"/>
        <v>5</v>
      </c>
      <c r="J64" s="4">
        <f t="shared" si="31"/>
        <v>0</v>
      </c>
      <c r="K64" s="4">
        <f t="shared" si="32"/>
        <v>0</v>
      </c>
      <c r="L64" s="4">
        <f t="shared" si="33"/>
        <v>0</v>
      </c>
      <c r="M64" s="4">
        <f t="shared" si="34"/>
        <v>0</v>
      </c>
      <c r="N64" s="4">
        <f t="shared" si="35"/>
        <v>0</v>
      </c>
      <c r="P64" s="4">
        <f>DUT!U65</f>
        <v>26.5001</v>
      </c>
      <c r="Q64" s="4">
        <f t="shared" si="13"/>
        <v>0</v>
      </c>
      <c r="R64" s="4">
        <f t="shared" si="14"/>
        <v>0</v>
      </c>
      <c r="S64" s="4">
        <f t="shared" si="15"/>
        <v>5</v>
      </c>
      <c r="T64" s="4">
        <f t="shared" si="16"/>
        <v>0</v>
      </c>
      <c r="U64" s="4">
        <f t="shared" si="17"/>
        <v>0</v>
      </c>
      <c r="V64" s="4">
        <f t="shared" si="18"/>
        <v>0</v>
      </c>
      <c r="W64" s="4">
        <f t="shared" si="19"/>
        <v>0</v>
      </c>
      <c r="X64" s="4">
        <f t="shared" si="20"/>
        <v>5</v>
      </c>
      <c r="Y64" s="4">
        <f t="shared" si="21"/>
        <v>0</v>
      </c>
      <c r="Z64" s="4">
        <f t="shared" si="22"/>
        <v>0</v>
      </c>
      <c r="AA64" s="4">
        <f t="shared" si="23"/>
        <v>0</v>
      </c>
      <c r="AB64" s="4">
        <f t="shared" si="24"/>
        <v>0</v>
      </c>
      <c r="AC64" s="4">
        <f t="shared" si="25"/>
        <v>0</v>
      </c>
    </row>
    <row r="65" spans="1:29">
      <c r="A65" s="4">
        <f>DUT!T66</f>
        <v>26.5001</v>
      </c>
      <c r="B65" s="4">
        <f t="shared" si="36"/>
        <v>0</v>
      </c>
      <c r="C65" s="4">
        <f t="shared" si="37"/>
        <v>0</v>
      </c>
      <c r="D65" s="4">
        <f t="shared" si="12"/>
        <v>5</v>
      </c>
      <c r="E65" s="4">
        <f t="shared" si="26"/>
        <v>0</v>
      </c>
      <c r="F65" s="4">
        <f t="shared" si="27"/>
        <v>0</v>
      </c>
      <c r="G65" s="4">
        <f t="shared" si="28"/>
        <v>0</v>
      </c>
      <c r="H65" s="4">
        <f t="shared" si="29"/>
        <v>0</v>
      </c>
      <c r="I65" s="4">
        <f t="shared" si="30"/>
        <v>5</v>
      </c>
      <c r="J65" s="4">
        <f t="shared" si="31"/>
        <v>0</v>
      </c>
      <c r="K65" s="4">
        <f t="shared" si="32"/>
        <v>0</v>
      </c>
      <c r="L65" s="4">
        <f t="shared" si="33"/>
        <v>0</v>
      </c>
      <c r="M65" s="4">
        <f t="shared" si="34"/>
        <v>0</v>
      </c>
      <c r="N65" s="4">
        <f t="shared" si="35"/>
        <v>0</v>
      </c>
      <c r="P65" s="4">
        <f>DUT!U66</f>
        <v>26.5001</v>
      </c>
      <c r="Q65" s="4">
        <f t="shared" si="13"/>
        <v>0</v>
      </c>
      <c r="R65" s="4">
        <f t="shared" si="14"/>
        <v>0</v>
      </c>
      <c r="S65" s="4">
        <f t="shared" si="15"/>
        <v>5</v>
      </c>
      <c r="T65" s="4">
        <f t="shared" si="16"/>
        <v>0</v>
      </c>
      <c r="U65" s="4">
        <f t="shared" si="17"/>
        <v>0</v>
      </c>
      <c r="V65" s="4">
        <f t="shared" si="18"/>
        <v>0</v>
      </c>
      <c r="W65" s="4">
        <f t="shared" si="19"/>
        <v>0</v>
      </c>
      <c r="X65" s="4">
        <f t="shared" si="20"/>
        <v>5</v>
      </c>
      <c r="Y65" s="4">
        <f t="shared" si="21"/>
        <v>0</v>
      </c>
      <c r="Z65" s="4">
        <f t="shared" si="22"/>
        <v>0</v>
      </c>
      <c r="AA65" s="4">
        <f t="shared" si="23"/>
        <v>0</v>
      </c>
      <c r="AB65" s="4">
        <f t="shared" si="24"/>
        <v>0</v>
      </c>
      <c r="AC65" s="4">
        <f t="shared" si="25"/>
        <v>0</v>
      </c>
    </row>
    <row r="66" spans="1:29">
      <c r="A66" s="4">
        <f>DUT!T67</f>
        <v>26.5001</v>
      </c>
      <c r="B66" s="4">
        <f t="shared" si="36"/>
        <v>0</v>
      </c>
      <c r="C66" s="4">
        <f t="shared" si="37"/>
        <v>0</v>
      </c>
      <c r="D66" s="4">
        <f t="shared" si="12"/>
        <v>5</v>
      </c>
      <c r="E66" s="4">
        <f t="shared" si="26"/>
        <v>0</v>
      </c>
      <c r="F66" s="4">
        <f t="shared" si="27"/>
        <v>0</v>
      </c>
      <c r="G66" s="4">
        <f t="shared" si="28"/>
        <v>0</v>
      </c>
      <c r="H66" s="4">
        <f t="shared" si="29"/>
        <v>0</v>
      </c>
      <c r="I66" s="4">
        <f t="shared" si="30"/>
        <v>5</v>
      </c>
      <c r="J66" s="4">
        <f t="shared" si="31"/>
        <v>0</v>
      </c>
      <c r="K66" s="4">
        <f t="shared" si="32"/>
        <v>0</v>
      </c>
      <c r="L66" s="4">
        <f t="shared" si="33"/>
        <v>0</v>
      </c>
      <c r="M66" s="4">
        <f t="shared" si="34"/>
        <v>0</v>
      </c>
      <c r="N66" s="4">
        <f t="shared" si="35"/>
        <v>0</v>
      </c>
      <c r="P66" s="4">
        <f>DUT!U67</f>
        <v>26.5001</v>
      </c>
      <c r="Q66" s="4">
        <f t="shared" si="13"/>
        <v>0</v>
      </c>
      <c r="R66" s="4">
        <f t="shared" si="14"/>
        <v>0</v>
      </c>
      <c r="S66" s="4">
        <f t="shared" si="15"/>
        <v>5</v>
      </c>
      <c r="T66" s="4">
        <f t="shared" si="16"/>
        <v>0</v>
      </c>
      <c r="U66" s="4">
        <f t="shared" si="17"/>
        <v>0</v>
      </c>
      <c r="V66" s="4">
        <f t="shared" si="18"/>
        <v>0</v>
      </c>
      <c r="W66" s="4">
        <f t="shared" si="19"/>
        <v>0</v>
      </c>
      <c r="X66" s="4">
        <f t="shared" si="20"/>
        <v>5</v>
      </c>
      <c r="Y66" s="4">
        <f t="shared" si="21"/>
        <v>0</v>
      </c>
      <c r="Z66" s="4">
        <f t="shared" si="22"/>
        <v>0</v>
      </c>
      <c r="AA66" s="4">
        <f t="shared" si="23"/>
        <v>0</v>
      </c>
      <c r="AB66" s="4">
        <f t="shared" si="24"/>
        <v>0</v>
      </c>
      <c r="AC66" s="4">
        <f t="shared" si="25"/>
        <v>0</v>
      </c>
    </row>
    <row r="67" spans="1:29">
      <c r="A67" s="4">
        <f>DUT!T68</f>
        <v>26.5001</v>
      </c>
      <c r="B67" s="4">
        <f t="shared" si="36"/>
        <v>0</v>
      </c>
      <c r="C67" s="4">
        <f t="shared" si="37"/>
        <v>0</v>
      </c>
      <c r="D67" s="4">
        <f t="shared" si="12"/>
        <v>5</v>
      </c>
      <c r="E67" s="4">
        <f t="shared" si="26"/>
        <v>0</v>
      </c>
      <c r="F67" s="4">
        <f t="shared" si="27"/>
        <v>0</v>
      </c>
      <c r="G67" s="4">
        <f t="shared" si="28"/>
        <v>0</v>
      </c>
      <c r="H67" s="4">
        <f t="shared" si="29"/>
        <v>0</v>
      </c>
      <c r="I67" s="4">
        <f t="shared" si="30"/>
        <v>5</v>
      </c>
      <c r="J67" s="4">
        <f t="shared" si="31"/>
        <v>0</v>
      </c>
      <c r="K67" s="4">
        <f t="shared" si="32"/>
        <v>0</v>
      </c>
      <c r="L67" s="4">
        <f t="shared" si="33"/>
        <v>0</v>
      </c>
      <c r="M67" s="4">
        <f t="shared" si="34"/>
        <v>0</v>
      </c>
      <c r="N67" s="4">
        <f t="shared" si="35"/>
        <v>0</v>
      </c>
      <c r="P67" s="4">
        <f>DUT!U68</f>
        <v>26.5001</v>
      </c>
      <c r="Q67" s="4">
        <f t="shared" si="13"/>
        <v>0</v>
      </c>
      <c r="R67" s="4">
        <f t="shared" si="14"/>
        <v>0</v>
      </c>
      <c r="S67" s="4">
        <f t="shared" si="15"/>
        <v>5</v>
      </c>
      <c r="T67" s="4">
        <f t="shared" si="16"/>
        <v>0</v>
      </c>
      <c r="U67" s="4">
        <f t="shared" si="17"/>
        <v>0</v>
      </c>
      <c r="V67" s="4">
        <f t="shared" si="18"/>
        <v>0</v>
      </c>
      <c r="W67" s="4">
        <f t="shared" si="19"/>
        <v>0</v>
      </c>
      <c r="X67" s="4">
        <f t="shared" si="20"/>
        <v>5</v>
      </c>
      <c r="Y67" s="4">
        <f t="shared" si="21"/>
        <v>0</v>
      </c>
      <c r="Z67" s="4">
        <f t="shared" si="22"/>
        <v>0</v>
      </c>
      <c r="AA67" s="4">
        <f t="shared" si="23"/>
        <v>0</v>
      </c>
      <c r="AB67" s="4">
        <f t="shared" si="24"/>
        <v>0</v>
      </c>
      <c r="AC67" s="4">
        <f t="shared" si="25"/>
        <v>0</v>
      </c>
    </row>
    <row r="68" spans="1:29">
      <c r="A68" s="4">
        <f>DUT!T69</f>
        <v>26.5001</v>
      </c>
      <c r="B68" s="4">
        <f t="shared" si="36"/>
        <v>0</v>
      </c>
      <c r="C68" s="4">
        <f t="shared" si="37"/>
        <v>0</v>
      </c>
      <c r="D68" s="4">
        <f t="shared" si="12"/>
        <v>5</v>
      </c>
      <c r="E68" s="4">
        <f t="shared" si="26"/>
        <v>0</v>
      </c>
      <c r="F68" s="4">
        <f t="shared" si="27"/>
        <v>0</v>
      </c>
      <c r="G68" s="4">
        <f t="shared" si="28"/>
        <v>0</v>
      </c>
      <c r="H68" s="4">
        <f t="shared" si="29"/>
        <v>0</v>
      </c>
      <c r="I68" s="4">
        <f t="shared" si="30"/>
        <v>5</v>
      </c>
      <c r="J68" s="4">
        <f t="shared" si="31"/>
        <v>0</v>
      </c>
      <c r="K68" s="4">
        <f t="shared" si="32"/>
        <v>0</v>
      </c>
      <c r="L68" s="4">
        <f t="shared" si="33"/>
        <v>0</v>
      </c>
      <c r="M68" s="4">
        <f t="shared" si="34"/>
        <v>0</v>
      </c>
      <c r="N68" s="4">
        <f t="shared" si="35"/>
        <v>0</v>
      </c>
      <c r="P68" s="4">
        <f>DUT!U69</f>
        <v>26.5001</v>
      </c>
      <c r="Q68" s="4">
        <f t="shared" si="13"/>
        <v>0</v>
      </c>
      <c r="R68" s="4">
        <f t="shared" si="14"/>
        <v>0</v>
      </c>
      <c r="S68" s="4">
        <f t="shared" si="15"/>
        <v>5</v>
      </c>
      <c r="T68" s="4">
        <f t="shared" si="16"/>
        <v>0</v>
      </c>
      <c r="U68" s="4">
        <f t="shared" si="17"/>
        <v>0</v>
      </c>
      <c r="V68" s="4">
        <f t="shared" si="18"/>
        <v>0</v>
      </c>
      <c r="W68" s="4">
        <f t="shared" si="19"/>
        <v>0</v>
      </c>
      <c r="X68" s="4">
        <f t="shared" si="20"/>
        <v>5</v>
      </c>
      <c r="Y68" s="4">
        <f t="shared" si="21"/>
        <v>0</v>
      </c>
      <c r="Z68" s="4">
        <f t="shared" si="22"/>
        <v>0</v>
      </c>
      <c r="AA68" s="4">
        <f t="shared" si="23"/>
        <v>0</v>
      </c>
      <c r="AB68" s="4">
        <f t="shared" si="24"/>
        <v>0</v>
      </c>
      <c r="AC68" s="4">
        <f t="shared" si="25"/>
        <v>0</v>
      </c>
    </row>
    <row r="69" spans="1:29">
      <c r="A69" s="4">
        <f>DUT!T70</f>
        <v>26.5001</v>
      </c>
      <c r="B69" s="4">
        <f t="shared" si="36"/>
        <v>0</v>
      </c>
      <c r="C69" s="4">
        <f t="shared" si="37"/>
        <v>0</v>
      </c>
      <c r="D69" s="4">
        <f t="shared" si="12"/>
        <v>5</v>
      </c>
      <c r="E69" s="4">
        <f t="shared" ref="E69:E100" si="38">1*AND($A69&gt;=$AE$4,$A69&lt;$AF$4)</f>
        <v>0</v>
      </c>
      <c r="F69" s="4">
        <f t="shared" ref="F69:F100" si="39">2*AND($A69&gt;=$AE$5,$A69&lt;$AF$5)</f>
        <v>0</v>
      </c>
      <c r="G69" s="4">
        <f t="shared" ref="G69:G100" si="40">3*AND($A69&gt;=$AE$6,$A69&lt;$AF$6)</f>
        <v>0</v>
      </c>
      <c r="H69" s="4">
        <f t="shared" ref="H69:H100" si="41">4*AND($A69&gt;=$AE$7,$A69&lt;$AF$7)</f>
        <v>0</v>
      </c>
      <c r="I69" s="4">
        <f t="shared" ref="I69:I100" si="42">5*AND($A69&gt;=$AE$8,$A69&lt;$AF$8)</f>
        <v>5</v>
      </c>
      <c r="J69" s="4">
        <f t="shared" ref="J69:J100" si="43">6*AND($A69&gt;=$AE$9,$A69&lt;$AF$9)</f>
        <v>0</v>
      </c>
      <c r="K69" s="4">
        <f t="shared" ref="K69:K100" si="44">7*AND($A69&gt;=$AE$10,$A69&lt;$AF$10)</f>
        <v>0</v>
      </c>
      <c r="L69" s="4">
        <f t="shared" ref="L69:L100" si="45">8*AND($A69&gt;=$AE$11,$A69&lt;$AF$11)</f>
        <v>0</v>
      </c>
      <c r="M69" s="4">
        <f t="shared" ref="M69:M100" si="46">9*AND($A69&gt;=$AE$12,$A69&lt;$AF$12)</f>
        <v>0</v>
      </c>
      <c r="N69" s="4">
        <f t="shared" ref="N69:N100" si="47">10*AND($A69&gt;=$AE$13,$A69&lt;$AF$13)</f>
        <v>0</v>
      </c>
      <c r="P69" s="4">
        <f>DUT!U70</f>
        <v>26.5001</v>
      </c>
      <c r="Q69" s="4">
        <f t="shared" si="13"/>
        <v>0</v>
      </c>
      <c r="R69" s="4">
        <f t="shared" si="14"/>
        <v>0</v>
      </c>
      <c r="S69" s="4">
        <f t="shared" si="15"/>
        <v>5</v>
      </c>
      <c r="T69" s="4">
        <f t="shared" si="16"/>
        <v>0</v>
      </c>
      <c r="U69" s="4">
        <f t="shared" si="17"/>
        <v>0</v>
      </c>
      <c r="V69" s="4">
        <f t="shared" si="18"/>
        <v>0</v>
      </c>
      <c r="W69" s="4">
        <f t="shared" si="19"/>
        <v>0</v>
      </c>
      <c r="X69" s="4">
        <f t="shared" si="20"/>
        <v>5</v>
      </c>
      <c r="Y69" s="4">
        <f t="shared" si="21"/>
        <v>0</v>
      </c>
      <c r="Z69" s="4">
        <f t="shared" si="22"/>
        <v>0</v>
      </c>
      <c r="AA69" s="4">
        <f t="shared" si="23"/>
        <v>0</v>
      </c>
      <c r="AB69" s="4">
        <f t="shared" si="24"/>
        <v>0</v>
      </c>
      <c r="AC69" s="4">
        <f t="shared" si="25"/>
        <v>0</v>
      </c>
    </row>
    <row r="70" spans="1:29">
      <c r="A70" s="4">
        <f>DUT!T71</f>
        <v>26.5001</v>
      </c>
      <c r="B70" s="4">
        <f t="shared" ref="B70:B106" si="48">CHOOSE($D70,$AL$4,$AL$5,$AL$6,$AL$7,$AL$8,$AL$9,$AL$10,$AL$11,$AL$12,$AL$13)</f>
        <v>0</v>
      </c>
      <c r="C70" s="4">
        <f t="shared" ref="C70:C106" si="49">CHOOSE($D70,$AS$4,$AS$5,$AS$6,$AS$7,$AS$8,$AS$9,$AS$10,$AS$11,$AS$12,$AS$13)</f>
        <v>0</v>
      </c>
      <c r="D70" s="4">
        <f t="shared" ref="D70:D106" si="50">SUM(E70:N70)</f>
        <v>5</v>
      </c>
      <c r="E70" s="4">
        <f t="shared" si="38"/>
        <v>0</v>
      </c>
      <c r="F70" s="4">
        <f t="shared" si="39"/>
        <v>0</v>
      </c>
      <c r="G70" s="4">
        <f t="shared" si="40"/>
        <v>0</v>
      </c>
      <c r="H70" s="4">
        <f t="shared" si="41"/>
        <v>0</v>
      </c>
      <c r="I70" s="4">
        <f t="shared" si="42"/>
        <v>5</v>
      </c>
      <c r="J70" s="4">
        <f t="shared" si="43"/>
        <v>0</v>
      </c>
      <c r="K70" s="4">
        <f t="shared" si="44"/>
        <v>0</v>
      </c>
      <c r="L70" s="4">
        <f t="shared" si="45"/>
        <v>0</v>
      </c>
      <c r="M70" s="4">
        <f t="shared" si="46"/>
        <v>0</v>
      </c>
      <c r="N70" s="4">
        <f t="shared" si="47"/>
        <v>0</v>
      </c>
      <c r="P70" s="4">
        <f>DUT!U71</f>
        <v>26.5001</v>
      </c>
      <c r="Q70" s="4">
        <f t="shared" ref="Q70:Q106" si="51">CHOOSE($S70,$AM$4,$AM$5,$AM$6,$AM$7,$AM$8,$AM$9,$AM$10)</f>
        <v>0</v>
      </c>
      <c r="R70" s="4">
        <f t="shared" ref="R70:R106" si="52">CHOOSE($S70,$AT$4,$AT$5,$AT$6,$AT$7,$AT$8,$AT$9,$AT$10,$AT$11,$AT$12,$AT$13)</f>
        <v>0</v>
      </c>
      <c r="S70" s="4">
        <f t="shared" ref="S70:S106" si="53">SUM(T70:AC70)</f>
        <v>5</v>
      </c>
      <c r="T70" s="4">
        <f t="shared" ref="T70:T106" si="54">1*AND($P70&gt;=$AE$4,$P70&lt;$AF$4)</f>
        <v>0</v>
      </c>
      <c r="U70" s="4">
        <f t="shared" ref="U70:U106" si="55">2*AND($P70&gt;=$AE$5,$P70&lt;$AF$5)</f>
        <v>0</v>
      </c>
      <c r="V70" s="4">
        <f t="shared" ref="V70:V106" si="56">3*AND($P70&gt;=$AE$6,$P70&lt;$AF$6)</f>
        <v>0</v>
      </c>
      <c r="W70" s="4">
        <f t="shared" ref="W70:W106" si="57">4*AND($P70&gt;=$AE$7,$P70&lt;$AF$7)</f>
        <v>0</v>
      </c>
      <c r="X70" s="4">
        <f t="shared" ref="X70:X106" si="58">5*AND($P70&gt;=$AE$8,$P70&lt;$AF$8)</f>
        <v>5</v>
      </c>
      <c r="Y70" s="4">
        <f t="shared" ref="Y70:Y106" si="59">6*AND($P70&gt;=$AE$9,$P70&lt;$AF$9)</f>
        <v>0</v>
      </c>
      <c r="Z70" s="4">
        <f t="shared" ref="Z70:Z106" si="60">7*AND($P70&gt;=$AE$10,$P70&lt;$AF$10)</f>
        <v>0</v>
      </c>
      <c r="AA70" s="4">
        <f t="shared" ref="AA70:AA106" si="61">8*AND($P70&gt;=$AE$11,$P70&lt;$AF$11)</f>
        <v>0</v>
      </c>
      <c r="AB70" s="4">
        <f t="shared" ref="AB70:AB106" si="62">9*AND($P70&gt;=$AE$12,$P70&lt;$AF$12)</f>
        <v>0</v>
      </c>
      <c r="AC70" s="4">
        <f t="shared" ref="AC70:AC106" si="63">10*AND($P70&gt;=$AE$13,$P70&lt;$AF$13)</f>
        <v>0</v>
      </c>
    </row>
    <row r="71" spans="1:29">
      <c r="A71" s="4">
        <f>DUT!T72</f>
        <v>26.5001</v>
      </c>
      <c r="B71" s="4">
        <f t="shared" si="48"/>
        <v>0</v>
      </c>
      <c r="C71" s="4">
        <f t="shared" si="49"/>
        <v>0</v>
      </c>
      <c r="D71" s="4">
        <f t="shared" si="50"/>
        <v>5</v>
      </c>
      <c r="E71" s="4">
        <f t="shared" si="38"/>
        <v>0</v>
      </c>
      <c r="F71" s="4">
        <f t="shared" si="39"/>
        <v>0</v>
      </c>
      <c r="G71" s="4">
        <f t="shared" si="40"/>
        <v>0</v>
      </c>
      <c r="H71" s="4">
        <f t="shared" si="41"/>
        <v>0</v>
      </c>
      <c r="I71" s="4">
        <f t="shared" si="42"/>
        <v>5</v>
      </c>
      <c r="J71" s="4">
        <f t="shared" si="43"/>
        <v>0</v>
      </c>
      <c r="K71" s="4">
        <f t="shared" si="44"/>
        <v>0</v>
      </c>
      <c r="L71" s="4">
        <f t="shared" si="45"/>
        <v>0</v>
      </c>
      <c r="M71" s="4">
        <f t="shared" si="46"/>
        <v>0</v>
      </c>
      <c r="N71" s="4">
        <f t="shared" si="47"/>
        <v>0</v>
      </c>
      <c r="P71" s="4">
        <f>DUT!U72</f>
        <v>26.5001</v>
      </c>
      <c r="Q71" s="4">
        <f t="shared" si="51"/>
        <v>0</v>
      </c>
      <c r="R71" s="4">
        <f t="shared" si="52"/>
        <v>0</v>
      </c>
      <c r="S71" s="4">
        <f t="shared" si="53"/>
        <v>5</v>
      </c>
      <c r="T71" s="4">
        <f t="shared" si="54"/>
        <v>0</v>
      </c>
      <c r="U71" s="4">
        <f t="shared" si="55"/>
        <v>0</v>
      </c>
      <c r="V71" s="4">
        <f t="shared" si="56"/>
        <v>0</v>
      </c>
      <c r="W71" s="4">
        <f t="shared" si="57"/>
        <v>0</v>
      </c>
      <c r="X71" s="4">
        <f t="shared" si="58"/>
        <v>5</v>
      </c>
      <c r="Y71" s="4">
        <f t="shared" si="59"/>
        <v>0</v>
      </c>
      <c r="Z71" s="4">
        <f t="shared" si="60"/>
        <v>0</v>
      </c>
      <c r="AA71" s="4">
        <f t="shared" si="61"/>
        <v>0</v>
      </c>
      <c r="AB71" s="4">
        <f t="shared" si="62"/>
        <v>0</v>
      </c>
      <c r="AC71" s="4">
        <f t="shared" si="63"/>
        <v>0</v>
      </c>
    </row>
    <row r="72" spans="1:29">
      <c r="A72" s="4">
        <f>DUT!T73</f>
        <v>26.5001</v>
      </c>
      <c r="B72" s="4">
        <f t="shared" si="48"/>
        <v>0</v>
      </c>
      <c r="C72" s="4">
        <f t="shared" si="49"/>
        <v>0</v>
      </c>
      <c r="D72" s="4">
        <f t="shared" si="50"/>
        <v>5</v>
      </c>
      <c r="E72" s="4">
        <f t="shared" si="38"/>
        <v>0</v>
      </c>
      <c r="F72" s="4">
        <f t="shared" si="39"/>
        <v>0</v>
      </c>
      <c r="G72" s="4">
        <f t="shared" si="40"/>
        <v>0</v>
      </c>
      <c r="H72" s="4">
        <f t="shared" si="41"/>
        <v>0</v>
      </c>
      <c r="I72" s="4">
        <f t="shared" si="42"/>
        <v>5</v>
      </c>
      <c r="J72" s="4">
        <f t="shared" si="43"/>
        <v>0</v>
      </c>
      <c r="K72" s="4">
        <f t="shared" si="44"/>
        <v>0</v>
      </c>
      <c r="L72" s="4">
        <f t="shared" si="45"/>
        <v>0</v>
      </c>
      <c r="M72" s="4">
        <f t="shared" si="46"/>
        <v>0</v>
      </c>
      <c r="N72" s="4">
        <f t="shared" si="47"/>
        <v>0</v>
      </c>
      <c r="P72" s="4">
        <f>DUT!U73</f>
        <v>26.5001</v>
      </c>
      <c r="Q72" s="4">
        <f t="shared" si="51"/>
        <v>0</v>
      </c>
      <c r="R72" s="4">
        <f t="shared" si="52"/>
        <v>0</v>
      </c>
      <c r="S72" s="4">
        <f t="shared" si="53"/>
        <v>5</v>
      </c>
      <c r="T72" s="4">
        <f t="shared" si="54"/>
        <v>0</v>
      </c>
      <c r="U72" s="4">
        <f t="shared" si="55"/>
        <v>0</v>
      </c>
      <c r="V72" s="4">
        <f t="shared" si="56"/>
        <v>0</v>
      </c>
      <c r="W72" s="4">
        <f t="shared" si="57"/>
        <v>0</v>
      </c>
      <c r="X72" s="4">
        <f t="shared" si="58"/>
        <v>5</v>
      </c>
      <c r="Y72" s="4">
        <f t="shared" si="59"/>
        <v>0</v>
      </c>
      <c r="Z72" s="4">
        <f t="shared" si="60"/>
        <v>0</v>
      </c>
      <c r="AA72" s="4">
        <f t="shared" si="61"/>
        <v>0</v>
      </c>
      <c r="AB72" s="4">
        <f t="shared" si="62"/>
        <v>0</v>
      </c>
      <c r="AC72" s="4">
        <f t="shared" si="63"/>
        <v>0</v>
      </c>
    </row>
    <row r="73" spans="1:29">
      <c r="A73" s="4">
        <f>DUT!T74</f>
        <v>26.5001</v>
      </c>
      <c r="B73" s="4">
        <f t="shared" si="48"/>
        <v>0</v>
      </c>
      <c r="C73" s="4">
        <f t="shared" si="49"/>
        <v>0</v>
      </c>
      <c r="D73" s="4">
        <f t="shared" si="50"/>
        <v>5</v>
      </c>
      <c r="E73" s="4">
        <f t="shared" si="38"/>
        <v>0</v>
      </c>
      <c r="F73" s="4">
        <f t="shared" si="39"/>
        <v>0</v>
      </c>
      <c r="G73" s="4">
        <f t="shared" si="40"/>
        <v>0</v>
      </c>
      <c r="H73" s="4">
        <f t="shared" si="41"/>
        <v>0</v>
      </c>
      <c r="I73" s="4">
        <f t="shared" si="42"/>
        <v>5</v>
      </c>
      <c r="J73" s="4">
        <f t="shared" si="43"/>
        <v>0</v>
      </c>
      <c r="K73" s="4">
        <f t="shared" si="44"/>
        <v>0</v>
      </c>
      <c r="L73" s="4">
        <f t="shared" si="45"/>
        <v>0</v>
      </c>
      <c r="M73" s="4">
        <f t="shared" si="46"/>
        <v>0</v>
      </c>
      <c r="N73" s="4">
        <f t="shared" si="47"/>
        <v>0</v>
      </c>
      <c r="P73" s="4">
        <f>DUT!U74</f>
        <v>26.5001</v>
      </c>
      <c r="Q73" s="4">
        <f t="shared" si="51"/>
        <v>0</v>
      </c>
      <c r="R73" s="4">
        <f t="shared" si="52"/>
        <v>0</v>
      </c>
      <c r="S73" s="4">
        <f t="shared" si="53"/>
        <v>5</v>
      </c>
      <c r="T73" s="4">
        <f t="shared" si="54"/>
        <v>0</v>
      </c>
      <c r="U73" s="4">
        <f t="shared" si="55"/>
        <v>0</v>
      </c>
      <c r="V73" s="4">
        <f t="shared" si="56"/>
        <v>0</v>
      </c>
      <c r="W73" s="4">
        <f t="shared" si="57"/>
        <v>0</v>
      </c>
      <c r="X73" s="4">
        <f t="shared" si="58"/>
        <v>5</v>
      </c>
      <c r="Y73" s="4">
        <f t="shared" si="59"/>
        <v>0</v>
      </c>
      <c r="Z73" s="4">
        <f t="shared" si="60"/>
        <v>0</v>
      </c>
      <c r="AA73" s="4">
        <f t="shared" si="61"/>
        <v>0</v>
      </c>
      <c r="AB73" s="4">
        <f t="shared" si="62"/>
        <v>0</v>
      </c>
      <c r="AC73" s="4">
        <f t="shared" si="63"/>
        <v>0</v>
      </c>
    </row>
    <row r="74" spans="1:29">
      <c r="A74" s="4">
        <f>DUT!T75</f>
        <v>26.5001</v>
      </c>
      <c r="B74" s="4">
        <f t="shared" si="48"/>
        <v>0</v>
      </c>
      <c r="C74" s="4">
        <f t="shared" si="49"/>
        <v>0</v>
      </c>
      <c r="D74" s="4">
        <f t="shared" si="50"/>
        <v>5</v>
      </c>
      <c r="E74" s="4">
        <f t="shared" si="38"/>
        <v>0</v>
      </c>
      <c r="F74" s="4">
        <f t="shared" si="39"/>
        <v>0</v>
      </c>
      <c r="G74" s="4">
        <f t="shared" si="40"/>
        <v>0</v>
      </c>
      <c r="H74" s="4">
        <f t="shared" si="41"/>
        <v>0</v>
      </c>
      <c r="I74" s="4">
        <f t="shared" si="42"/>
        <v>5</v>
      </c>
      <c r="J74" s="4">
        <f t="shared" si="43"/>
        <v>0</v>
      </c>
      <c r="K74" s="4">
        <f t="shared" si="44"/>
        <v>0</v>
      </c>
      <c r="L74" s="4">
        <f t="shared" si="45"/>
        <v>0</v>
      </c>
      <c r="M74" s="4">
        <f t="shared" si="46"/>
        <v>0</v>
      </c>
      <c r="N74" s="4">
        <f t="shared" si="47"/>
        <v>0</v>
      </c>
      <c r="P74" s="4">
        <f>DUT!U75</f>
        <v>26.5001</v>
      </c>
      <c r="Q74" s="4">
        <f t="shared" si="51"/>
        <v>0</v>
      </c>
      <c r="R74" s="4">
        <f t="shared" si="52"/>
        <v>0</v>
      </c>
      <c r="S74" s="4">
        <f t="shared" si="53"/>
        <v>5</v>
      </c>
      <c r="T74" s="4">
        <f t="shared" si="54"/>
        <v>0</v>
      </c>
      <c r="U74" s="4">
        <f t="shared" si="55"/>
        <v>0</v>
      </c>
      <c r="V74" s="4">
        <f t="shared" si="56"/>
        <v>0</v>
      </c>
      <c r="W74" s="4">
        <f t="shared" si="57"/>
        <v>0</v>
      </c>
      <c r="X74" s="4">
        <f t="shared" si="58"/>
        <v>5</v>
      </c>
      <c r="Y74" s="4">
        <f t="shared" si="59"/>
        <v>0</v>
      </c>
      <c r="Z74" s="4">
        <f t="shared" si="60"/>
        <v>0</v>
      </c>
      <c r="AA74" s="4">
        <f t="shared" si="61"/>
        <v>0</v>
      </c>
      <c r="AB74" s="4">
        <f t="shared" si="62"/>
        <v>0</v>
      </c>
      <c r="AC74" s="4">
        <f t="shared" si="63"/>
        <v>0</v>
      </c>
    </row>
    <row r="75" spans="1:29">
      <c r="A75" s="4">
        <f>DUT!T76</f>
        <v>26.5001</v>
      </c>
      <c r="B75" s="4">
        <f t="shared" si="48"/>
        <v>0</v>
      </c>
      <c r="C75" s="4">
        <f t="shared" si="49"/>
        <v>0</v>
      </c>
      <c r="D75" s="4">
        <f t="shared" si="50"/>
        <v>5</v>
      </c>
      <c r="E75" s="4">
        <f t="shared" si="38"/>
        <v>0</v>
      </c>
      <c r="F75" s="4">
        <f t="shared" si="39"/>
        <v>0</v>
      </c>
      <c r="G75" s="4">
        <f t="shared" si="40"/>
        <v>0</v>
      </c>
      <c r="H75" s="4">
        <f t="shared" si="41"/>
        <v>0</v>
      </c>
      <c r="I75" s="4">
        <f t="shared" si="42"/>
        <v>5</v>
      </c>
      <c r="J75" s="4">
        <f t="shared" si="43"/>
        <v>0</v>
      </c>
      <c r="K75" s="4">
        <f t="shared" si="44"/>
        <v>0</v>
      </c>
      <c r="L75" s="4">
        <f t="shared" si="45"/>
        <v>0</v>
      </c>
      <c r="M75" s="4">
        <f t="shared" si="46"/>
        <v>0</v>
      </c>
      <c r="N75" s="4">
        <f t="shared" si="47"/>
        <v>0</v>
      </c>
      <c r="P75" s="4">
        <f>DUT!U76</f>
        <v>26.5001</v>
      </c>
      <c r="Q75" s="4">
        <f t="shared" si="51"/>
        <v>0</v>
      </c>
      <c r="R75" s="4">
        <f t="shared" si="52"/>
        <v>0</v>
      </c>
      <c r="S75" s="4">
        <f t="shared" si="53"/>
        <v>5</v>
      </c>
      <c r="T75" s="4">
        <f t="shared" si="54"/>
        <v>0</v>
      </c>
      <c r="U75" s="4">
        <f t="shared" si="55"/>
        <v>0</v>
      </c>
      <c r="V75" s="4">
        <f t="shared" si="56"/>
        <v>0</v>
      </c>
      <c r="W75" s="4">
        <f t="shared" si="57"/>
        <v>0</v>
      </c>
      <c r="X75" s="4">
        <f t="shared" si="58"/>
        <v>5</v>
      </c>
      <c r="Y75" s="4">
        <f t="shared" si="59"/>
        <v>0</v>
      </c>
      <c r="Z75" s="4">
        <f t="shared" si="60"/>
        <v>0</v>
      </c>
      <c r="AA75" s="4">
        <f t="shared" si="61"/>
        <v>0</v>
      </c>
      <c r="AB75" s="4">
        <f t="shared" si="62"/>
        <v>0</v>
      </c>
      <c r="AC75" s="4">
        <f t="shared" si="63"/>
        <v>0</v>
      </c>
    </row>
    <row r="76" spans="1:29">
      <c r="A76" s="4">
        <f>DUT!T77</f>
        <v>26.5001</v>
      </c>
      <c r="B76" s="4">
        <f t="shared" si="48"/>
        <v>0</v>
      </c>
      <c r="C76" s="4">
        <f t="shared" si="49"/>
        <v>0</v>
      </c>
      <c r="D76" s="4">
        <f t="shared" si="50"/>
        <v>5</v>
      </c>
      <c r="E76" s="4">
        <f t="shared" si="38"/>
        <v>0</v>
      </c>
      <c r="F76" s="4">
        <f t="shared" si="39"/>
        <v>0</v>
      </c>
      <c r="G76" s="4">
        <f t="shared" si="40"/>
        <v>0</v>
      </c>
      <c r="H76" s="4">
        <f t="shared" si="41"/>
        <v>0</v>
      </c>
      <c r="I76" s="4">
        <f t="shared" si="42"/>
        <v>5</v>
      </c>
      <c r="J76" s="4">
        <f t="shared" si="43"/>
        <v>0</v>
      </c>
      <c r="K76" s="4">
        <f t="shared" si="44"/>
        <v>0</v>
      </c>
      <c r="L76" s="4">
        <f t="shared" si="45"/>
        <v>0</v>
      </c>
      <c r="M76" s="4">
        <f t="shared" si="46"/>
        <v>0</v>
      </c>
      <c r="N76" s="4">
        <f t="shared" si="47"/>
        <v>0</v>
      </c>
      <c r="P76" s="4">
        <f>DUT!U77</f>
        <v>26.5001</v>
      </c>
      <c r="Q76" s="4">
        <f t="shared" si="51"/>
        <v>0</v>
      </c>
      <c r="R76" s="4">
        <f t="shared" si="52"/>
        <v>0</v>
      </c>
      <c r="S76" s="4">
        <f t="shared" si="53"/>
        <v>5</v>
      </c>
      <c r="T76" s="4">
        <f t="shared" si="54"/>
        <v>0</v>
      </c>
      <c r="U76" s="4">
        <f t="shared" si="55"/>
        <v>0</v>
      </c>
      <c r="V76" s="4">
        <f t="shared" si="56"/>
        <v>0</v>
      </c>
      <c r="W76" s="4">
        <f t="shared" si="57"/>
        <v>0</v>
      </c>
      <c r="X76" s="4">
        <f t="shared" si="58"/>
        <v>5</v>
      </c>
      <c r="Y76" s="4">
        <f t="shared" si="59"/>
        <v>0</v>
      </c>
      <c r="Z76" s="4">
        <f t="shared" si="60"/>
        <v>0</v>
      </c>
      <c r="AA76" s="4">
        <f t="shared" si="61"/>
        <v>0</v>
      </c>
      <c r="AB76" s="4">
        <f t="shared" si="62"/>
        <v>0</v>
      </c>
      <c r="AC76" s="4">
        <f t="shared" si="63"/>
        <v>0</v>
      </c>
    </row>
    <row r="77" spans="1:29">
      <c r="A77" s="4">
        <f>DUT!T78</f>
        <v>26.5001</v>
      </c>
      <c r="B77" s="4">
        <f t="shared" si="48"/>
        <v>0</v>
      </c>
      <c r="C77" s="4">
        <f t="shared" si="49"/>
        <v>0</v>
      </c>
      <c r="D77" s="4">
        <f t="shared" si="50"/>
        <v>5</v>
      </c>
      <c r="E77" s="4">
        <f t="shared" si="38"/>
        <v>0</v>
      </c>
      <c r="F77" s="4">
        <f t="shared" si="39"/>
        <v>0</v>
      </c>
      <c r="G77" s="4">
        <f t="shared" si="40"/>
        <v>0</v>
      </c>
      <c r="H77" s="4">
        <f t="shared" si="41"/>
        <v>0</v>
      </c>
      <c r="I77" s="4">
        <f t="shared" si="42"/>
        <v>5</v>
      </c>
      <c r="J77" s="4">
        <f t="shared" si="43"/>
        <v>0</v>
      </c>
      <c r="K77" s="4">
        <f t="shared" si="44"/>
        <v>0</v>
      </c>
      <c r="L77" s="4">
        <f t="shared" si="45"/>
        <v>0</v>
      </c>
      <c r="M77" s="4">
        <f t="shared" si="46"/>
        <v>0</v>
      </c>
      <c r="N77" s="4">
        <f t="shared" si="47"/>
        <v>0</v>
      </c>
      <c r="P77" s="4">
        <f>DUT!U78</f>
        <v>26.5001</v>
      </c>
      <c r="Q77" s="4">
        <f t="shared" si="51"/>
        <v>0</v>
      </c>
      <c r="R77" s="4">
        <f t="shared" si="52"/>
        <v>0</v>
      </c>
      <c r="S77" s="4">
        <f t="shared" si="53"/>
        <v>5</v>
      </c>
      <c r="T77" s="4">
        <f t="shared" si="54"/>
        <v>0</v>
      </c>
      <c r="U77" s="4">
        <f t="shared" si="55"/>
        <v>0</v>
      </c>
      <c r="V77" s="4">
        <f t="shared" si="56"/>
        <v>0</v>
      </c>
      <c r="W77" s="4">
        <f t="shared" si="57"/>
        <v>0</v>
      </c>
      <c r="X77" s="4">
        <f t="shared" si="58"/>
        <v>5</v>
      </c>
      <c r="Y77" s="4">
        <f t="shared" si="59"/>
        <v>0</v>
      </c>
      <c r="Z77" s="4">
        <f t="shared" si="60"/>
        <v>0</v>
      </c>
      <c r="AA77" s="4">
        <f t="shared" si="61"/>
        <v>0</v>
      </c>
      <c r="AB77" s="4">
        <f t="shared" si="62"/>
        <v>0</v>
      </c>
      <c r="AC77" s="4">
        <f t="shared" si="63"/>
        <v>0</v>
      </c>
    </row>
    <row r="78" spans="1:29">
      <c r="A78" s="4">
        <f>DUT!T79</f>
        <v>26.5001</v>
      </c>
      <c r="B78" s="4">
        <f t="shared" si="48"/>
        <v>0</v>
      </c>
      <c r="C78" s="4">
        <f t="shared" si="49"/>
        <v>0</v>
      </c>
      <c r="D78" s="4">
        <f t="shared" si="50"/>
        <v>5</v>
      </c>
      <c r="E78" s="4">
        <f t="shared" si="38"/>
        <v>0</v>
      </c>
      <c r="F78" s="4">
        <f t="shared" si="39"/>
        <v>0</v>
      </c>
      <c r="G78" s="4">
        <f t="shared" si="40"/>
        <v>0</v>
      </c>
      <c r="H78" s="4">
        <f t="shared" si="41"/>
        <v>0</v>
      </c>
      <c r="I78" s="4">
        <f t="shared" si="42"/>
        <v>5</v>
      </c>
      <c r="J78" s="4">
        <f t="shared" si="43"/>
        <v>0</v>
      </c>
      <c r="K78" s="4">
        <f t="shared" si="44"/>
        <v>0</v>
      </c>
      <c r="L78" s="4">
        <f t="shared" si="45"/>
        <v>0</v>
      </c>
      <c r="M78" s="4">
        <f t="shared" si="46"/>
        <v>0</v>
      </c>
      <c r="N78" s="4">
        <f t="shared" si="47"/>
        <v>0</v>
      </c>
      <c r="P78" s="4">
        <f>DUT!U79</f>
        <v>26.5001</v>
      </c>
      <c r="Q78" s="4">
        <f t="shared" si="51"/>
        <v>0</v>
      </c>
      <c r="R78" s="4">
        <f t="shared" si="52"/>
        <v>0</v>
      </c>
      <c r="S78" s="4">
        <f t="shared" si="53"/>
        <v>5</v>
      </c>
      <c r="T78" s="4">
        <f t="shared" si="54"/>
        <v>0</v>
      </c>
      <c r="U78" s="4">
        <f t="shared" si="55"/>
        <v>0</v>
      </c>
      <c r="V78" s="4">
        <f t="shared" si="56"/>
        <v>0</v>
      </c>
      <c r="W78" s="4">
        <f t="shared" si="57"/>
        <v>0</v>
      </c>
      <c r="X78" s="4">
        <f t="shared" si="58"/>
        <v>5</v>
      </c>
      <c r="Y78" s="4">
        <f t="shared" si="59"/>
        <v>0</v>
      </c>
      <c r="Z78" s="4">
        <f t="shared" si="60"/>
        <v>0</v>
      </c>
      <c r="AA78" s="4">
        <f t="shared" si="61"/>
        <v>0</v>
      </c>
      <c r="AB78" s="4">
        <f t="shared" si="62"/>
        <v>0</v>
      </c>
      <c r="AC78" s="4">
        <f t="shared" si="63"/>
        <v>0</v>
      </c>
    </row>
    <row r="79" spans="1:29">
      <c r="A79" s="4">
        <f>DUT!T80</f>
        <v>26.5001</v>
      </c>
      <c r="B79" s="4">
        <f t="shared" si="48"/>
        <v>0</v>
      </c>
      <c r="C79" s="4">
        <f t="shared" si="49"/>
        <v>0</v>
      </c>
      <c r="D79" s="4">
        <f t="shared" si="50"/>
        <v>5</v>
      </c>
      <c r="E79" s="4">
        <f t="shared" si="38"/>
        <v>0</v>
      </c>
      <c r="F79" s="4">
        <f t="shared" si="39"/>
        <v>0</v>
      </c>
      <c r="G79" s="4">
        <f t="shared" si="40"/>
        <v>0</v>
      </c>
      <c r="H79" s="4">
        <f t="shared" si="41"/>
        <v>0</v>
      </c>
      <c r="I79" s="4">
        <f t="shared" si="42"/>
        <v>5</v>
      </c>
      <c r="J79" s="4">
        <f t="shared" si="43"/>
        <v>0</v>
      </c>
      <c r="K79" s="4">
        <f t="shared" si="44"/>
        <v>0</v>
      </c>
      <c r="L79" s="4">
        <f t="shared" si="45"/>
        <v>0</v>
      </c>
      <c r="M79" s="4">
        <f t="shared" si="46"/>
        <v>0</v>
      </c>
      <c r="N79" s="4">
        <f t="shared" si="47"/>
        <v>0</v>
      </c>
      <c r="P79" s="4">
        <f>DUT!U80</f>
        <v>26.5001</v>
      </c>
      <c r="Q79" s="4">
        <f t="shared" si="51"/>
        <v>0</v>
      </c>
      <c r="R79" s="4">
        <f t="shared" si="52"/>
        <v>0</v>
      </c>
      <c r="S79" s="4">
        <f t="shared" si="53"/>
        <v>5</v>
      </c>
      <c r="T79" s="4">
        <f t="shared" si="54"/>
        <v>0</v>
      </c>
      <c r="U79" s="4">
        <f t="shared" si="55"/>
        <v>0</v>
      </c>
      <c r="V79" s="4">
        <f t="shared" si="56"/>
        <v>0</v>
      </c>
      <c r="W79" s="4">
        <f t="shared" si="57"/>
        <v>0</v>
      </c>
      <c r="X79" s="4">
        <f t="shared" si="58"/>
        <v>5</v>
      </c>
      <c r="Y79" s="4">
        <f t="shared" si="59"/>
        <v>0</v>
      </c>
      <c r="Z79" s="4">
        <f t="shared" si="60"/>
        <v>0</v>
      </c>
      <c r="AA79" s="4">
        <f t="shared" si="61"/>
        <v>0</v>
      </c>
      <c r="AB79" s="4">
        <f t="shared" si="62"/>
        <v>0</v>
      </c>
      <c r="AC79" s="4">
        <f t="shared" si="63"/>
        <v>0</v>
      </c>
    </row>
    <row r="80" spans="1:29">
      <c r="A80" s="4">
        <f>DUT!T81</f>
        <v>26.5001</v>
      </c>
      <c r="B80" s="4">
        <f t="shared" si="48"/>
        <v>0</v>
      </c>
      <c r="C80" s="4">
        <f t="shared" si="49"/>
        <v>0</v>
      </c>
      <c r="D80" s="4">
        <f t="shared" si="50"/>
        <v>5</v>
      </c>
      <c r="E80" s="4">
        <f t="shared" si="38"/>
        <v>0</v>
      </c>
      <c r="F80" s="4">
        <f t="shared" si="39"/>
        <v>0</v>
      </c>
      <c r="G80" s="4">
        <f t="shared" si="40"/>
        <v>0</v>
      </c>
      <c r="H80" s="4">
        <f t="shared" si="41"/>
        <v>0</v>
      </c>
      <c r="I80" s="4">
        <f t="shared" si="42"/>
        <v>5</v>
      </c>
      <c r="J80" s="4">
        <f t="shared" si="43"/>
        <v>0</v>
      </c>
      <c r="K80" s="4">
        <f t="shared" si="44"/>
        <v>0</v>
      </c>
      <c r="L80" s="4">
        <f t="shared" si="45"/>
        <v>0</v>
      </c>
      <c r="M80" s="4">
        <f t="shared" si="46"/>
        <v>0</v>
      </c>
      <c r="N80" s="4">
        <f t="shared" si="47"/>
        <v>0</v>
      </c>
      <c r="P80" s="4">
        <f>DUT!U81</f>
        <v>26.5001</v>
      </c>
      <c r="Q80" s="4">
        <f t="shared" si="51"/>
        <v>0</v>
      </c>
      <c r="R80" s="4">
        <f t="shared" si="52"/>
        <v>0</v>
      </c>
      <c r="S80" s="4">
        <f t="shared" si="53"/>
        <v>5</v>
      </c>
      <c r="T80" s="4">
        <f t="shared" si="54"/>
        <v>0</v>
      </c>
      <c r="U80" s="4">
        <f t="shared" si="55"/>
        <v>0</v>
      </c>
      <c r="V80" s="4">
        <f t="shared" si="56"/>
        <v>0</v>
      </c>
      <c r="W80" s="4">
        <f t="shared" si="57"/>
        <v>0</v>
      </c>
      <c r="X80" s="4">
        <f t="shared" si="58"/>
        <v>5</v>
      </c>
      <c r="Y80" s="4">
        <f t="shared" si="59"/>
        <v>0</v>
      </c>
      <c r="Z80" s="4">
        <f t="shared" si="60"/>
        <v>0</v>
      </c>
      <c r="AA80" s="4">
        <f t="shared" si="61"/>
        <v>0</v>
      </c>
      <c r="AB80" s="4">
        <f t="shared" si="62"/>
        <v>0</v>
      </c>
      <c r="AC80" s="4">
        <f t="shared" si="63"/>
        <v>0</v>
      </c>
    </row>
    <row r="81" spans="1:29">
      <c r="A81" s="4">
        <f>DUT!T82</f>
        <v>26.5001</v>
      </c>
      <c r="B81" s="4">
        <f t="shared" si="48"/>
        <v>0</v>
      </c>
      <c r="C81" s="4">
        <f t="shared" si="49"/>
        <v>0</v>
      </c>
      <c r="D81" s="4">
        <f t="shared" si="50"/>
        <v>5</v>
      </c>
      <c r="E81" s="4">
        <f t="shared" si="38"/>
        <v>0</v>
      </c>
      <c r="F81" s="4">
        <f t="shared" si="39"/>
        <v>0</v>
      </c>
      <c r="G81" s="4">
        <f t="shared" si="40"/>
        <v>0</v>
      </c>
      <c r="H81" s="4">
        <f t="shared" si="41"/>
        <v>0</v>
      </c>
      <c r="I81" s="4">
        <f t="shared" si="42"/>
        <v>5</v>
      </c>
      <c r="J81" s="4">
        <f t="shared" si="43"/>
        <v>0</v>
      </c>
      <c r="K81" s="4">
        <f t="shared" si="44"/>
        <v>0</v>
      </c>
      <c r="L81" s="4">
        <f t="shared" si="45"/>
        <v>0</v>
      </c>
      <c r="M81" s="4">
        <f t="shared" si="46"/>
        <v>0</v>
      </c>
      <c r="N81" s="4">
        <f t="shared" si="47"/>
        <v>0</v>
      </c>
      <c r="P81" s="4">
        <f>DUT!U82</f>
        <v>26.5001</v>
      </c>
      <c r="Q81" s="4">
        <f t="shared" si="51"/>
        <v>0</v>
      </c>
      <c r="R81" s="4">
        <f t="shared" si="52"/>
        <v>0</v>
      </c>
      <c r="S81" s="4">
        <f t="shared" si="53"/>
        <v>5</v>
      </c>
      <c r="T81" s="4">
        <f t="shared" si="54"/>
        <v>0</v>
      </c>
      <c r="U81" s="4">
        <f t="shared" si="55"/>
        <v>0</v>
      </c>
      <c r="V81" s="4">
        <f t="shared" si="56"/>
        <v>0</v>
      </c>
      <c r="W81" s="4">
        <f t="shared" si="57"/>
        <v>0</v>
      </c>
      <c r="X81" s="4">
        <f t="shared" si="58"/>
        <v>5</v>
      </c>
      <c r="Y81" s="4">
        <f t="shared" si="59"/>
        <v>0</v>
      </c>
      <c r="Z81" s="4">
        <f t="shared" si="60"/>
        <v>0</v>
      </c>
      <c r="AA81" s="4">
        <f t="shared" si="61"/>
        <v>0</v>
      </c>
      <c r="AB81" s="4">
        <f t="shared" si="62"/>
        <v>0</v>
      </c>
      <c r="AC81" s="4">
        <f t="shared" si="63"/>
        <v>0</v>
      </c>
    </row>
    <row r="82" spans="1:29">
      <c r="A82" s="4">
        <f>DUT!T83</f>
        <v>26.5001</v>
      </c>
      <c r="B82" s="4">
        <f t="shared" si="48"/>
        <v>0</v>
      </c>
      <c r="C82" s="4">
        <f t="shared" si="49"/>
        <v>0</v>
      </c>
      <c r="D82" s="4">
        <f t="shared" si="50"/>
        <v>5</v>
      </c>
      <c r="E82" s="4">
        <f t="shared" si="38"/>
        <v>0</v>
      </c>
      <c r="F82" s="4">
        <f t="shared" si="39"/>
        <v>0</v>
      </c>
      <c r="G82" s="4">
        <f t="shared" si="40"/>
        <v>0</v>
      </c>
      <c r="H82" s="4">
        <f t="shared" si="41"/>
        <v>0</v>
      </c>
      <c r="I82" s="4">
        <f t="shared" si="42"/>
        <v>5</v>
      </c>
      <c r="J82" s="4">
        <f t="shared" si="43"/>
        <v>0</v>
      </c>
      <c r="K82" s="4">
        <f t="shared" si="44"/>
        <v>0</v>
      </c>
      <c r="L82" s="4">
        <f t="shared" si="45"/>
        <v>0</v>
      </c>
      <c r="M82" s="4">
        <f t="shared" si="46"/>
        <v>0</v>
      </c>
      <c r="N82" s="4">
        <f t="shared" si="47"/>
        <v>0</v>
      </c>
      <c r="P82" s="4">
        <f>DUT!U83</f>
        <v>26.5001</v>
      </c>
      <c r="Q82" s="4">
        <f t="shared" si="51"/>
        <v>0</v>
      </c>
      <c r="R82" s="4">
        <f t="shared" si="52"/>
        <v>0</v>
      </c>
      <c r="S82" s="4">
        <f t="shared" si="53"/>
        <v>5</v>
      </c>
      <c r="T82" s="4">
        <f t="shared" si="54"/>
        <v>0</v>
      </c>
      <c r="U82" s="4">
        <f t="shared" si="55"/>
        <v>0</v>
      </c>
      <c r="V82" s="4">
        <f t="shared" si="56"/>
        <v>0</v>
      </c>
      <c r="W82" s="4">
        <f t="shared" si="57"/>
        <v>0</v>
      </c>
      <c r="X82" s="4">
        <f t="shared" si="58"/>
        <v>5</v>
      </c>
      <c r="Y82" s="4">
        <f t="shared" si="59"/>
        <v>0</v>
      </c>
      <c r="Z82" s="4">
        <f t="shared" si="60"/>
        <v>0</v>
      </c>
      <c r="AA82" s="4">
        <f t="shared" si="61"/>
        <v>0</v>
      </c>
      <c r="AB82" s="4">
        <f t="shared" si="62"/>
        <v>0</v>
      </c>
      <c r="AC82" s="4">
        <f t="shared" si="63"/>
        <v>0</v>
      </c>
    </row>
    <row r="83" spans="1:29">
      <c r="A83" s="4">
        <f>DUT!T84</f>
        <v>26.5001</v>
      </c>
      <c r="B83" s="4">
        <f t="shared" si="48"/>
        <v>0</v>
      </c>
      <c r="C83" s="4">
        <f t="shared" si="49"/>
        <v>0</v>
      </c>
      <c r="D83" s="4">
        <f t="shared" si="50"/>
        <v>5</v>
      </c>
      <c r="E83" s="4">
        <f t="shared" si="38"/>
        <v>0</v>
      </c>
      <c r="F83" s="4">
        <f t="shared" si="39"/>
        <v>0</v>
      </c>
      <c r="G83" s="4">
        <f t="shared" si="40"/>
        <v>0</v>
      </c>
      <c r="H83" s="4">
        <f t="shared" si="41"/>
        <v>0</v>
      </c>
      <c r="I83" s="4">
        <f t="shared" si="42"/>
        <v>5</v>
      </c>
      <c r="J83" s="4">
        <f t="shared" si="43"/>
        <v>0</v>
      </c>
      <c r="K83" s="4">
        <f t="shared" si="44"/>
        <v>0</v>
      </c>
      <c r="L83" s="4">
        <f t="shared" si="45"/>
        <v>0</v>
      </c>
      <c r="M83" s="4">
        <f t="shared" si="46"/>
        <v>0</v>
      </c>
      <c r="N83" s="4">
        <f t="shared" si="47"/>
        <v>0</v>
      </c>
      <c r="P83" s="4">
        <f>DUT!U84</f>
        <v>26.5001</v>
      </c>
      <c r="Q83" s="4">
        <f t="shared" si="51"/>
        <v>0</v>
      </c>
      <c r="R83" s="4">
        <f t="shared" si="52"/>
        <v>0</v>
      </c>
      <c r="S83" s="4">
        <f t="shared" si="53"/>
        <v>5</v>
      </c>
      <c r="T83" s="4">
        <f t="shared" si="54"/>
        <v>0</v>
      </c>
      <c r="U83" s="4">
        <f t="shared" si="55"/>
        <v>0</v>
      </c>
      <c r="V83" s="4">
        <f t="shared" si="56"/>
        <v>0</v>
      </c>
      <c r="W83" s="4">
        <f t="shared" si="57"/>
        <v>0</v>
      </c>
      <c r="X83" s="4">
        <f t="shared" si="58"/>
        <v>5</v>
      </c>
      <c r="Y83" s="4">
        <f t="shared" si="59"/>
        <v>0</v>
      </c>
      <c r="Z83" s="4">
        <f t="shared" si="60"/>
        <v>0</v>
      </c>
      <c r="AA83" s="4">
        <f t="shared" si="61"/>
        <v>0</v>
      </c>
      <c r="AB83" s="4">
        <f t="shared" si="62"/>
        <v>0</v>
      </c>
      <c r="AC83" s="4">
        <f t="shared" si="63"/>
        <v>0</v>
      </c>
    </row>
    <row r="84" spans="1:29">
      <c r="A84" s="4">
        <f>DUT!T85</f>
        <v>26.5001</v>
      </c>
      <c r="B84" s="4">
        <f t="shared" si="48"/>
        <v>0</v>
      </c>
      <c r="C84" s="4">
        <f t="shared" si="49"/>
        <v>0</v>
      </c>
      <c r="D84" s="4">
        <f t="shared" si="50"/>
        <v>5</v>
      </c>
      <c r="E84" s="4">
        <f t="shared" si="38"/>
        <v>0</v>
      </c>
      <c r="F84" s="4">
        <f t="shared" si="39"/>
        <v>0</v>
      </c>
      <c r="G84" s="4">
        <f t="shared" si="40"/>
        <v>0</v>
      </c>
      <c r="H84" s="4">
        <f t="shared" si="41"/>
        <v>0</v>
      </c>
      <c r="I84" s="4">
        <f t="shared" si="42"/>
        <v>5</v>
      </c>
      <c r="J84" s="4">
        <f t="shared" si="43"/>
        <v>0</v>
      </c>
      <c r="K84" s="4">
        <f t="shared" si="44"/>
        <v>0</v>
      </c>
      <c r="L84" s="4">
        <f t="shared" si="45"/>
        <v>0</v>
      </c>
      <c r="M84" s="4">
        <f t="shared" si="46"/>
        <v>0</v>
      </c>
      <c r="N84" s="4">
        <f t="shared" si="47"/>
        <v>0</v>
      </c>
      <c r="P84" s="4">
        <f>DUT!U85</f>
        <v>26.5001</v>
      </c>
      <c r="Q84" s="4">
        <f t="shared" si="51"/>
        <v>0</v>
      </c>
      <c r="R84" s="4">
        <f t="shared" si="52"/>
        <v>0</v>
      </c>
      <c r="S84" s="4">
        <f t="shared" si="53"/>
        <v>5</v>
      </c>
      <c r="T84" s="4">
        <f t="shared" si="54"/>
        <v>0</v>
      </c>
      <c r="U84" s="4">
        <f t="shared" si="55"/>
        <v>0</v>
      </c>
      <c r="V84" s="4">
        <f t="shared" si="56"/>
        <v>0</v>
      </c>
      <c r="W84" s="4">
        <f t="shared" si="57"/>
        <v>0</v>
      </c>
      <c r="X84" s="4">
        <f t="shared" si="58"/>
        <v>5</v>
      </c>
      <c r="Y84" s="4">
        <f t="shared" si="59"/>
        <v>0</v>
      </c>
      <c r="Z84" s="4">
        <f t="shared" si="60"/>
        <v>0</v>
      </c>
      <c r="AA84" s="4">
        <f t="shared" si="61"/>
        <v>0</v>
      </c>
      <c r="AB84" s="4">
        <f t="shared" si="62"/>
        <v>0</v>
      </c>
      <c r="AC84" s="4">
        <f t="shared" si="63"/>
        <v>0</v>
      </c>
    </row>
    <row r="85" spans="1:29">
      <c r="A85" s="4">
        <f>DUT!T86</f>
        <v>26.5001</v>
      </c>
      <c r="B85" s="4">
        <f t="shared" si="48"/>
        <v>0</v>
      </c>
      <c r="C85" s="4">
        <f t="shared" si="49"/>
        <v>0</v>
      </c>
      <c r="D85" s="4">
        <f t="shared" si="50"/>
        <v>5</v>
      </c>
      <c r="E85" s="4">
        <f t="shared" si="38"/>
        <v>0</v>
      </c>
      <c r="F85" s="4">
        <f t="shared" si="39"/>
        <v>0</v>
      </c>
      <c r="G85" s="4">
        <f t="shared" si="40"/>
        <v>0</v>
      </c>
      <c r="H85" s="4">
        <f t="shared" si="41"/>
        <v>0</v>
      </c>
      <c r="I85" s="4">
        <f t="shared" si="42"/>
        <v>5</v>
      </c>
      <c r="J85" s="4">
        <f t="shared" si="43"/>
        <v>0</v>
      </c>
      <c r="K85" s="4">
        <f t="shared" si="44"/>
        <v>0</v>
      </c>
      <c r="L85" s="4">
        <f t="shared" si="45"/>
        <v>0</v>
      </c>
      <c r="M85" s="4">
        <f t="shared" si="46"/>
        <v>0</v>
      </c>
      <c r="N85" s="4">
        <f t="shared" si="47"/>
        <v>0</v>
      </c>
      <c r="P85" s="4">
        <f>DUT!U86</f>
        <v>26.5001</v>
      </c>
      <c r="Q85" s="4">
        <f t="shared" si="51"/>
        <v>0</v>
      </c>
      <c r="R85" s="4">
        <f t="shared" si="52"/>
        <v>0</v>
      </c>
      <c r="S85" s="4">
        <f t="shared" si="53"/>
        <v>5</v>
      </c>
      <c r="T85" s="4">
        <f t="shared" si="54"/>
        <v>0</v>
      </c>
      <c r="U85" s="4">
        <f t="shared" si="55"/>
        <v>0</v>
      </c>
      <c r="V85" s="4">
        <f t="shared" si="56"/>
        <v>0</v>
      </c>
      <c r="W85" s="4">
        <f t="shared" si="57"/>
        <v>0</v>
      </c>
      <c r="X85" s="4">
        <f t="shared" si="58"/>
        <v>5</v>
      </c>
      <c r="Y85" s="4">
        <f t="shared" si="59"/>
        <v>0</v>
      </c>
      <c r="Z85" s="4">
        <f t="shared" si="60"/>
        <v>0</v>
      </c>
      <c r="AA85" s="4">
        <f t="shared" si="61"/>
        <v>0</v>
      </c>
      <c r="AB85" s="4">
        <f t="shared" si="62"/>
        <v>0</v>
      </c>
      <c r="AC85" s="4">
        <f t="shared" si="63"/>
        <v>0</v>
      </c>
    </row>
    <row r="86" spans="1:29">
      <c r="A86" s="4">
        <f>DUT!T87</f>
        <v>26.5001</v>
      </c>
      <c r="B86" s="4">
        <f t="shared" si="48"/>
        <v>0</v>
      </c>
      <c r="C86" s="4">
        <f t="shared" si="49"/>
        <v>0</v>
      </c>
      <c r="D86" s="4">
        <f t="shared" si="50"/>
        <v>5</v>
      </c>
      <c r="E86" s="4">
        <f t="shared" si="38"/>
        <v>0</v>
      </c>
      <c r="F86" s="4">
        <f t="shared" si="39"/>
        <v>0</v>
      </c>
      <c r="G86" s="4">
        <f t="shared" si="40"/>
        <v>0</v>
      </c>
      <c r="H86" s="4">
        <f t="shared" si="41"/>
        <v>0</v>
      </c>
      <c r="I86" s="4">
        <f t="shared" si="42"/>
        <v>5</v>
      </c>
      <c r="J86" s="4">
        <f t="shared" si="43"/>
        <v>0</v>
      </c>
      <c r="K86" s="4">
        <f t="shared" si="44"/>
        <v>0</v>
      </c>
      <c r="L86" s="4">
        <f t="shared" si="45"/>
        <v>0</v>
      </c>
      <c r="M86" s="4">
        <f t="shared" si="46"/>
        <v>0</v>
      </c>
      <c r="N86" s="4">
        <f t="shared" si="47"/>
        <v>0</v>
      </c>
      <c r="P86" s="4">
        <f>DUT!U87</f>
        <v>26.5001</v>
      </c>
      <c r="Q86" s="4">
        <f t="shared" si="51"/>
        <v>0</v>
      </c>
      <c r="R86" s="4">
        <f t="shared" si="52"/>
        <v>0</v>
      </c>
      <c r="S86" s="4">
        <f t="shared" si="53"/>
        <v>5</v>
      </c>
      <c r="T86" s="4">
        <f t="shared" si="54"/>
        <v>0</v>
      </c>
      <c r="U86" s="4">
        <f t="shared" si="55"/>
        <v>0</v>
      </c>
      <c r="V86" s="4">
        <f t="shared" si="56"/>
        <v>0</v>
      </c>
      <c r="W86" s="4">
        <f t="shared" si="57"/>
        <v>0</v>
      </c>
      <c r="X86" s="4">
        <f t="shared" si="58"/>
        <v>5</v>
      </c>
      <c r="Y86" s="4">
        <f t="shared" si="59"/>
        <v>0</v>
      </c>
      <c r="Z86" s="4">
        <f t="shared" si="60"/>
        <v>0</v>
      </c>
      <c r="AA86" s="4">
        <f t="shared" si="61"/>
        <v>0</v>
      </c>
      <c r="AB86" s="4">
        <f t="shared" si="62"/>
        <v>0</v>
      </c>
      <c r="AC86" s="4">
        <f t="shared" si="63"/>
        <v>0</v>
      </c>
    </row>
    <row r="87" spans="1:29">
      <c r="A87" s="4">
        <f>DUT!T88</f>
        <v>26.5001</v>
      </c>
      <c r="B87" s="4">
        <f t="shared" si="48"/>
        <v>0</v>
      </c>
      <c r="C87" s="4">
        <f t="shared" si="49"/>
        <v>0</v>
      </c>
      <c r="D87" s="4">
        <f t="shared" si="50"/>
        <v>5</v>
      </c>
      <c r="E87" s="4">
        <f t="shared" si="38"/>
        <v>0</v>
      </c>
      <c r="F87" s="4">
        <f t="shared" si="39"/>
        <v>0</v>
      </c>
      <c r="G87" s="4">
        <f t="shared" si="40"/>
        <v>0</v>
      </c>
      <c r="H87" s="4">
        <f t="shared" si="41"/>
        <v>0</v>
      </c>
      <c r="I87" s="4">
        <f t="shared" si="42"/>
        <v>5</v>
      </c>
      <c r="J87" s="4">
        <f t="shared" si="43"/>
        <v>0</v>
      </c>
      <c r="K87" s="4">
        <f t="shared" si="44"/>
        <v>0</v>
      </c>
      <c r="L87" s="4">
        <f t="shared" si="45"/>
        <v>0</v>
      </c>
      <c r="M87" s="4">
        <f t="shared" si="46"/>
        <v>0</v>
      </c>
      <c r="N87" s="4">
        <f t="shared" si="47"/>
        <v>0</v>
      </c>
      <c r="P87" s="4">
        <f>DUT!U88</f>
        <v>26.5001</v>
      </c>
      <c r="Q87" s="4">
        <f t="shared" si="51"/>
        <v>0</v>
      </c>
      <c r="R87" s="4">
        <f t="shared" si="52"/>
        <v>0</v>
      </c>
      <c r="S87" s="4">
        <f t="shared" si="53"/>
        <v>5</v>
      </c>
      <c r="T87" s="4">
        <f t="shared" si="54"/>
        <v>0</v>
      </c>
      <c r="U87" s="4">
        <f t="shared" si="55"/>
        <v>0</v>
      </c>
      <c r="V87" s="4">
        <f t="shared" si="56"/>
        <v>0</v>
      </c>
      <c r="W87" s="4">
        <f t="shared" si="57"/>
        <v>0</v>
      </c>
      <c r="X87" s="4">
        <f t="shared" si="58"/>
        <v>5</v>
      </c>
      <c r="Y87" s="4">
        <f t="shared" si="59"/>
        <v>0</v>
      </c>
      <c r="Z87" s="4">
        <f t="shared" si="60"/>
        <v>0</v>
      </c>
      <c r="AA87" s="4">
        <f t="shared" si="61"/>
        <v>0</v>
      </c>
      <c r="AB87" s="4">
        <f t="shared" si="62"/>
        <v>0</v>
      </c>
      <c r="AC87" s="4">
        <f t="shared" si="63"/>
        <v>0</v>
      </c>
    </row>
    <row r="88" spans="1:29">
      <c r="A88" s="4">
        <f>DUT!T89</f>
        <v>26.5001</v>
      </c>
      <c r="B88" s="4">
        <f t="shared" si="48"/>
        <v>0</v>
      </c>
      <c r="C88" s="4">
        <f t="shared" si="49"/>
        <v>0</v>
      </c>
      <c r="D88" s="4">
        <f t="shared" si="50"/>
        <v>5</v>
      </c>
      <c r="E88" s="4">
        <f t="shared" si="38"/>
        <v>0</v>
      </c>
      <c r="F88" s="4">
        <f t="shared" si="39"/>
        <v>0</v>
      </c>
      <c r="G88" s="4">
        <f t="shared" si="40"/>
        <v>0</v>
      </c>
      <c r="H88" s="4">
        <f t="shared" si="41"/>
        <v>0</v>
      </c>
      <c r="I88" s="4">
        <f t="shared" si="42"/>
        <v>5</v>
      </c>
      <c r="J88" s="4">
        <f t="shared" si="43"/>
        <v>0</v>
      </c>
      <c r="K88" s="4">
        <f t="shared" si="44"/>
        <v>0</v>
      </c>
      <c r="L88" s="4">
        <f t="shared" si="45"/>
        <v>0</v>
      </c>
      <c r="M88" s="4">
        <f t="shared" si="46"/>
        <v>0</v>
      </c>
      <c r="N88" s="4">
        <f t="shared" si="47"/>
        <v>0</v>
      </c>
      <c r="P88" s="4">
        <f>DUT!U89</f>
        <v>26.5001</v>
      </c>
      <c r="Q88" s="4">
        <f t="shared" si="51"/>
        <v>0</v>
      </c>
      <c r="R88" s="4">
        <f t="shared" si="52"/>
        <v>0</v>
      </c>
      <c r="S88" s="4">
        <f t="shared" si="53"/>
        <v>5</v>
      </c>
      <c r="T88" s="4">
        <f t="shared" si="54"/>
        <v>0</v>
      </c>
      <c r="U88" s="4">
        <f t="shared" si="55"/>
        <v>0</v>
      </c>
      <c r="V88" s="4">
        <f t="shared" si="56"/>
        <v>0</v>
      </c>
      <c r="W88" s="4">
        <f t="shared" si="57"/>
        <v>0</v>
      </c>
      <c r="X88" s="4">
        <f t="shared" si="58"/>
        <v>5</v>
      </c>
      <c r="Y88" s="4">
        <f t="shared" si="59"/>
        <v>0</v>
      </c>
      <c r="Z88" s="4">
        <f t="shared" si="60"/>
        <v>0</v>
      </c>
      <c r="AA88" s="4">
        <f t="shared" si="61"/>
        <v>0</v>
      </c>
      <c r="AB88" s="4">
        <f t="shared" si="62"/>
        <v>0</v>
      </c>
      <c r="AC88" s="4">
        <f t="shared" si="63"/>
        <v>0</v>
      </c>
    </row>
    <row r="89" spans="1:29">
      <c r="A89" s="4">
        <f>DUT!T90</f>
        <v>26.5001</v>
      </c>
      <c r="B89" s="4">
        <f t="shared" si="48"/>
        <v>0</v>
      </c>
      <c r="C89" s="4">
        <f t="shared" si="49"/>
        <v>0</v>
      </c>
      <c r="D89" s="4">
        <f t="shared" si="50"/>
        <v>5</v>
      </c>
      <c r="E89" s="4">
        <f t="shared" si="38"/>
        <v>0</v>
      </c>
      <c r="F89" s="4">
        <f t="shared" si="39"/>
        <v>0</v>
      </c>
      <c r="G89" s="4">
        <f t="shared" si="40"/>
        <v>0</v>
      </c>
      <c r="H89" s="4">
        <f t="shared" si="41"/>
        <v>0</v>
      </c>
      <c r="I89" s="4">
        <f t="shared" si="42"/>
        <v>5</v>
      </c>
      <c r="J89" s="4">
        <f t="shared" si="43"/>
        <v>0</v>
      </c>
      <c r="K89" s="4">
        <f t="shared" si="44"/>
        <v>0</v>
      </c>
      <c r="L89" s="4">
        <f t="shared" si="45"/>
        <v>0</v>
      </c>
      <c r="M89" s="4">
        <f t="shared" si="46"/>
        <v>0</v>
      </c>
      <c r="N89" s="4">
        <f t="shared" si="47"/>
        <v>0</v>
      </c>
      <c r="P89" s="4">
        <f>DUT!U90</f>
        <v>26.5001</v>
      </c>
      <c r="Q89" s="4">
        <f t="shared" si="51"/>
        <v>0</v>
      </c>
      <c r="R89" s="4">
        <f t="shared" si="52"/>
        <v>0</v>
      </c>
      <c r="S89" s="4">
        <f t="shared" si="53"/>
        <v>5</v>
      </c>
      <c r="T89" s="4">
        <f t="shared" si="54"/>
        <v>0</v>
      </c>
      <c r="U89" s="4">
        <f t="shared" si="55"/>
        <v>0</v>
      </c>
      <c r="V89" s="4">
        <f t="shared" si="56"/>
        <v>0</v>
      </c>
      <c r="W89" s="4">
        <f t="shared" si="57"/>
        <v>0</v>
      </c>
      <c r="X89" s="4">
        <f t="shared" si="58"/>
        <v>5</v>
      </c>
      <c r="Y89" s="4">
        <f t="shared" si="59"/>
        <v>0</v>
      </c>
      <c r="Z89" s="4">
        <f t="shared" si="60"/>
        <v>0</v>
      </c>
      <c r="AA89" s="4">
        <f t="shared" si="61"/>
        <v>0</v>
      </c>
      <c r="AB89" s="4">
        <f t="shared" si="62"/>
        <v>0</v>
      </c>
      <c r="AC89" s="4">
        <f t="shared" si="63"/>
        <v>0</v>
      </c>
    </row>
    <row r="90" spans="1:29">
      <c r="A90" s="4">
        <f>DUT!T91</f>
        <v>26.5001</v>
      </c>
      <c r="B90" s="4">
        <f t="shared" si="48"/>
        <v>0</v>
      </c>
      <c r="C90" s="4">
        <f t="shared" si="49"/>
        <v>0</v>
      </c>
      <c r="D90" s="4">
        <f t="shared" si="50"/>
        <v>5</v>
      </c>
      <c r="E90" s="4">
        <f t="shared" si="38"/>
        <v>0</v>
      </c>
      <c r="F90" s="4">
        <f t="shared" si="39"/>
        <v>0</v>
      </c>
      <c r="G90" s="4">
        <f t="shared" si="40"/>
        <v>0</v>
      </c>
      <c r="H90" s="4">
        <f t="shared" si="41"/>
        <v>0</v>
      </c>
      <c r="I90" s="4">
        <f t="shared" si="42"/>
        <v>5</v>
      </c>
      <c r="J90" s="4">
        <f t="shared" si="43"/>
        <v>0</v>
      </c>
      <c r="K90" s="4">
        <f t="shared" si="44"/>
        <v>0</v>
      </c>
      <c r="L90" s="4">
        <f t="shared" si="45"/>
        <v>0</v>
      </c>
      <c r="M90" s="4">
        <f t="shared" si="46"/>
        <v>0</v>
      </c>
      <c r="N90" s="4">
        <f t="shared" si="47"/>
        <v>0</v>
      </c>
      <c r="P90" s="4">
        <f>DUT!U91</f>
        <v>26.5001</v>
      </c>
      <c r="Q90" s="4">
        <f t="shared" si="51"/>
        <v>0</v>
      </c>
      <c r="R90" s="4">
        <f t="shared" si="52"/>
        <v>0</v>
      </c>
      <c r="S90" s="4">
        <f t="shared" si="53"/>
        <v>5</v>
      </c>
      <c r="T90" s="4">
        <f t="shared" si="54"/>
        <v>0</v>
      </c>
      <c r="U90" s="4">
        <f t="shared" si="55"/>
        <v>0</v>
      </c>
      <c r="V90" s="4">
        <f t="shared" si="56"/>
        <v>0</v>
      </c>
      <c r="W90" s="4">
        <f t="shared" si="57"/>
        <v>0</v>
      </c>
      <c r="X90" s="4">
        <f t="shared" si="58"/>
        <v>5</v>
      </c>
      <c r="Y90" s="4">
        <f t="shared" si="59"/>
        <v>0</v>
      </c>
      <c r="Z90" s="4">
        <f t="shared" si="60"/>
        <v>0</v>
      </c>
      <c r="AA90" s="4">
        <f t="shared" si="61"/>
        <v>0</v>
      </c>
      <c r="AB90" s="4">
        <f t="shared" si="62"/>
        <v>0</v>
      </c>
      <c r="AC90" s="4">
        <f t="shared" si="63"/>
        <v>0</v>
      </c>
    </row>
    <row r="91" spans="1:29">
      <c r="A91" s="4">
        <f>DUT!T92</f>
        <v>26.5001</v>
      </c>
      <c r="B91" s="4">
        <f t="shared" si="48"/>
        <v>0</v>
      </c>
      <c r="C91" s="4">
        <f t="shared" si="49"/>
        <v>0</v>
      </c>
      <c r="D91" s="4">
        <f t="shared" si="50"/>
        <v>5</v>
      </c>
      <c r="E91" s="4">
        <f t="shared" si="38"/>
        <v>0</v>
      </c>
      <c r="F91" s="4">
        <f t="shared" si="39"/>
        <v>0</v>
      </c>
      <c r="G91" s="4">
        <f t="shared" si="40"/>
        <v>0</v>
      </c>
      <c r="H91" s="4">
        <f t="shared" si="41"/>
        <v>0</v>
      </c>
      <c r="I91" s="4">
        <f t="shared" si="42"/>
        <v>5</v>
      </c>
      <c r="J91" s="4">
        <f t="shared" si="43"/>
        <v>0</v>
      </c>
      <c r="K91" s="4">
        <f t="shared" si="44"/>
        <v>0</v>
      </c>
      <c r="L91" s="4">
        <f t="shared" si="45"/>
        <v>0</v>
      </c>
      <c r="M91" s="4">
        <f t="shared" si="46"/>
        <v>0</v>
      </c>
      <c r="N91" s="4">
        <f t="shared" si="47"/>
        <v>0</v>
      </c>
      <c r="P91" s="4">
        <f>DUT!U92</f>
        <v>26.5001</v>
      </c>
      <c r="Q91" s="4">
        <f t="shared" si="51"/>
        <v>0</v>
      </c>
      <c r="R91" s="4">
        <f t="shared" si="52"/>
        <v>0</v>
      </c>
      <c r="S91" s="4">
        <f t="shared" si="53"/>
        <v>5</v>
      </c>
      <c r="T91" s="4">
        <f t="shared" si="54"/>
        <v>0</v>
      </c>
      <c r="U91" s="4">
        <f t="shared" si="55"/>
        <v>0</v>
      </c>
      <c r="V91" s="4">
        <f t="shared" si="56"/>
        <v>0</v>
      </c>
      <c r="W91" s="4">
        <f t="shared" si="57"/>
        <v>0</v>
      </c>
      <c r="X91" s="4">
        <f t="shared" si="58"/>
        <v>5</v>
      </c>
      <c r="Y91" s="4">
        <f t="shared" si="59"/>
        <v>0</v>
      </c>
      <c r="Z91" s="4">
        <f t="shared" si="60"/>
        <v>0</v>
      </c>
      <c r="AA91" s="4">
        <f t="shared" si="61"/>
        <v>0</v>
      </c>
      <c r="AB91" s="4">
        <f t="shared" si="62"/>
        <v>0</v>
      </c>
      <c r="AC91" s="4">
        <f t="shared" si="63"/>
        <v>0</v>
      </c>
    </row>
    <row r="92" spans="1:29">
      <c r="A92" s="4">
        <f>DUT!T93</f>
        <v>26.5001</v>
      </c>
      <c r="B92" s="4">
        <f t="shared" si="48"/>
        <v>0</v>
      </c>
      <c r="C92" s="4">
        <f t="shared" si="49"/>
        <v>0</v>
      </c>
      <c r="D92" s="4">
        <f t="shared" si="50"/>
        <v>5</v>
      </c>
      <c r="E92" s="4">
        <f t="shared" si="38"/>
        <v>0</v>
      </c>
      <c r="F92" s="4">
        <f t="shared" si="39"/>
        <v>0</v>
      </c>
      <c r="G92" s="4">
        <f t="shared" si="40"/>
        <v>0</v>
      </c>
      <c r="H92" s="4">
        <f t="shared" si="41"/>
        <v>0</v>
      </c>
      <c r="I92" s="4">
        <f t="shared" si="42"/>
        <v>5</v>
      </c>
      <c r="J92" s="4">
        <f t="shared" si="43"/>
        <v>0</v>
      </c>
      <c r="K92" s="4">
        <f t="shared" si="44"/>
        <v>0</v>
      </c>
      <c r="L92" s="4">
        <f t="shared" si="45"/>
        <v>0</v>
      </c>
      <c r="M92" s="4">
        <f t="shared" si="46"/>
        <v>0</v>
      </c>
      <c r="N92" s="4">
        <f t="shared" si="47"/>
        <v>0</v>
      </c>
      <c r="P92" s="4">
        <f>DUT!U93</f>
        <v>26.5001</v>
      </c>
      <c r="Q92" s="4">
        <f t="shared" si="51"/>
        <v>0</v>
      </c>
      <c r="R92" s="4">
        <f t="shared" si="52"/>
        <v>0</v>
      </c>
      <c r="S92" s="4">
        <f t="shared" si="53"/>
        <v>5</v>
      </c>
      <c r="T92" s="4">
        <f t="shared" si="54"/>
        <v>0</v>
      </c>
      <c r="U92" s="4">
        <f t="shared" si="55"/>
        <v>0</v>
      </c>
      <c r="V92" s="4">
        <f t="shared" si="56"/>
        <v>0</v>
      </c>
      <c r="W92" s="4">
        <f t="shared" si="57"/>
        <v>0</v>
      </c>
      <c r="X92" s="4">
        <f t="shared" si="58"/>
        <v>5</v>
      </c>
      <c r="Y92" s="4">
        <f t="shared" si="59"/>
        <v>0</v>
      </c>
      <c r="Z92" s="4">
        <f t="shared" si="60"/>
        <v>0</v>
      </c>
      <c r="AA92" s="4">
        <f t="shared" si="61"/>
        <v>0</v>
      </c>
      <c r="AB92" s="4">
        <f t="shared" si="62"/>
        <v>0</v>
      </c>
      <c r="AC92" s="4">
        <f t="shared" si="63"/>
        <v>0</v>
      </c>
    </row>
    <row r="93" spans="1:29">
      <c r="A93" s="4">
        <f>DUT!T94</f>
        <v>26.5001</v>
      </c>
      <c r="B93" s="4">
        <f t="shared" si="48"/>
        <v>0</v>
      </c>
      <c r="C93" s="4">
        <f t="shared" si="49"/>
        <v>0</v>
      </c>
      <c r="D93" s="4">
        <f t="shared" si="50"/>
        <v>5</v>
      </c>
      <c r="E93" s="4">
        <f t="shared" si="38"/>
        <v>0</v>
      </c>
      <c r="F93" s="4">
        <f t="shared" si="39"/>
        <v>0</v>
      </c>
      <c r="G93" s="4">
        <f t="shared" si="40"/>
        <v>0</v>
      </c>
      <c r="H93" s="4">
        <f t="shared" si="41"/>
        <v>0</v>
      </c>
      <c r="I93" s="4">
        <f t="shared" si="42"/>
        <v>5</v>
      </c>
      <c r="J93" s="4">
        <f t="shared" si="43"/>
        <v>0</v>
      </c>
      <c r="K93" s="4">
        <f t="shared" si="44"/>
        <v>0</v>
      </c>
      <c r="L93" s="4">
        <f t="shared" si="45"/>
        <v>0</v>
      </c>
      <c r="M93" s="4">
        <f t="shared" si="46"/>
        <v>0</v>
      </c>
      <c r="N93" s="4">
        <f t="shared" si="47"/>
        <v>0</v>
      </c>
      <c r="P93" s="4">
        <f>DUT!U94</f>
        <v>26.5001</v>
      </c>
      <c r="Q93" s="4">
        <f t="shared" si="51"/>
        <v>0</v>
      </c>
      <c r="R93" s="4">
        <f t="shared" si="52"/>
        <v>0</v>
      </c>
      <c r="S93" s="4">
        <f t="shared" si="53"/>
        <v>5</v>
      </c>
      <c r="T93" s="4">
        <f t="shared" si="54"/>
        <v>0</v>
      </c>
      <c r="U93" s="4">
        <f t="shared" si="55"/>
        <v>0</v>
      </c>
      <c r="V93" s="4">
        <f t="shared" si="56"/>
        <v>0</v>
      </c>
      <c r="W93" s="4">
        <f t="shared" si="57"/>
        <v>0</v>
      </c>
      <c r="X93" s="4">
        <f t="shared" si="58"/>
        <v>5</v>
      </c>
      <c r="Y93" s="4">
        <f t="shared" si="59"/>
        <v>0</v>
      </c>
      <c r="Z93" s="4">
        <f t="shared" si="60"/>
        <v>0</v>
      </c>
      <c r="AA93" s="4">
        <f t="shared" si="61"/>
        <v>0</v>
      </c>
      <c r="AB93" s="4">
        <f t="shared" si="62"/>
        <v>0</v>
      </c>
      <c r="AC93" s="4">
        <f t="shared" si="63"/>
        <v>0</v>
      </c>
    </row>
    <row r="94" spans="1:29">
      <c r="A94" s="4">
        <f>DUT!T95</f>
        <v>26.5001</v>
      </c>
      <c r="B94" s="4">
        <f t="shared" si="48"/>
        <v>0</v>
      </c>
      <c r="C94" s="4">
        <f t="shared" si="49"/>
        <v>0</v>
      </c>
      <c r="D94" s="4">
        <f t="shared" si="50"/>
        <v>5</v>
      </c>
      <c r="E94" s="4">
        <f t="shared" si="38"/>
        <v>0</v>
      </c>
      <c r="F94" s="4">
        <f t="shared" si="39"/>
        <v>0</v>
      </c>
      <c r="G94" s="4">
        <f t="shared" si="40"/>
        <v>0</v>
      </c>
      <c r="H94" s="4">
        <f t="shared" si="41"/>
        <v>0</v>
      </c>
      <c r="I94" s="4">
        <f t="shared" si="42"/>
        <v>5</v>
      </c>
      <c r="J94" s="4">
        <f t="shared" si="43"/>
        <v>0</v>
      </c>
      <c r="K94" s="4">
        <f t="shared" si="44"/>
        <v>0</v>
      </c>
      <c r="L94" s="4">
        <f t="shared" si="45"/>
        <v>0</v>
      </c>
      <c r="M94" s="4">
        <f t="shared" si="46"/>
        <v>0</v>
      </c>
      <c r="N94" s="4">
        <f t="shared" si="47"/>
        <v>0</v>
      </c>
      <c r="P94" s="4">
        <f>DUT!U95</f>
        <v>26.5001</v>
      </c>
      <c r="Q94" s="4">
        <f t="shared" si="51"/>
        <v>0</v>
      </c>
      <c r="R94" s="4">
        <f t="shared" si="52"/>
        <v>0</v>
      </c>
      <c r="S94" s="4">
        <f t="shared" si="53"/>
        <v>5</v>
      </c>
      <c r="T94" s="4">
        <f t="shared" si="54"/>
        <v>0</v>
      </c>
      <c r="U94" s="4">
        <f t="shared" si="55"/>
        <v>0</v>
      </c>
      <c r="V94" s="4">
        <f t="shared" si="56"/>
        <v>0</v>
      </c>
      <c r="W94" s="4">
        <f t="shared" si="57"/>
        <v>0</v>
      </c>
      <c r="X94" s="4">
        <f t="shared" si="58"/>
        <v>5</v>
      </c>
      <c r="Y94" s="4">
        <f t="shared" si="59"/>
        <v>0</v>
      </c>
      <c r="Z94" s="4">
        <f t="shared" si="60"/>
        <v>0</v>
      </c>
      <c r="AA94" s="4">
        <f t="shared" si="61"/>
        <v>0</v>
      </c>
      <c r="AB94" s="4">
        <f t="shared" si="62"/>
        <v>0</v>
      </c>
      <c r="AC94" s="4">
        <f t="shared" si="63"/>
        <v>0</v>
      </c>
    </row>
    <row r="95" spans="1:29">
      <c r="A95" s="4">
        <f>DUT!T96</f>
        <v>26.5001</v>
      </c>
      <c r="B95" s="4">
        <f t="shared" si="48"/>
        <v>0</v>
      </c>
      <c r="C95" s="4">
        <f t="shared" si="49"/>
        <v>0</v>
      </c>
      <c r="D95" s="4">
        <f t="shared" si="50"/>
        <v>5</v>
      </c>
      <c r="E95" s="4">
        <f t="shared" si="38"/>
        <v>0</v>
      </c>
      <c r="F95" s="4">
        <f t="shared" si="39"/>
        <v>0</v>
      </c>
      <c r="G95" s="4">
        <f t="shared" si="40"/>
        <v>0</v>
      </c>
      <c r="H95" s="4">
        <f t="shared" si="41"/>
        <v>0</v>
      </c>
      <c r="I95" s="4">
        <f t="shared" si="42"/>
        <v>5</v>
      </c>
      <c r="J95" s="4">
        <f t="shared" si="43"/>
        <v>0</v>
      </c>
      <c r="K95" s="4">
        <f t="shared" si="44"/>
        <v>0</v>
      </c>
      <c r="L95" s="4">
        <f t="shared" si="45"/>
        <v>0</v>
      </c>
      <c r="M95" s="4">
        <f t="shared" si="46"/>
        <v>0</v>
      </c>
      <c r="N95" s="4">
        <f t="shared" si="47"/>
        <v>0</v>
      </c>
      <c r="P95" s="4">
        <f>DUT!U96</f>
        <v>26.5001</v>
      </c>
      <c r="Q95" s="4">
        <f t="shared" si="51"/>
        <v>0</v>
      </c>
      <c r="R95" s="4">
        <f t="shared" si="52"/>
        <v>0</v>
      </c>
      <c r="S95" s="4">
        <f t="shared" si="53"/>
        <v>5</v>
      </c>
      <c r="T95" s="4">
        <f t="shared" si="54"/>
        <v>0</v>
      </c>
      <c r="U95" s="4">
        <f t="shared" si="55"/>
        <v>0</v>
      </c>
      <c r="V95" s="4">
        <f t="shared" si="56"/>
        <v>0</v>
      </c>
      <c r="W95" s="4">
        <f t="shared" si="57"/>
        <v>0</v>
      </c>
      <c r="X95" s="4">
        <f t="shared" si="58"/>
        <v>5</v>
      </c>
      <c r="Y95" s="4">
        <f t="shared" si="59"/>
        <v>0</v>
      </c>
      <c r="Z95" s="4">
        <f t="shared" si="60"/>
        <v>0</v>
      </c>
      <c r="AA95" s="4">
        <f t="shared" si="61"/>
        <v>0</v>
      </c>
      <c r="AB95" s="4">
        <f t="shared" si="62"/>
        <v>0</v>
      </c>
      <c r="AC95" s="4">
        <f t="shared" si="63"/>
        <v>0</v>
      </c>
    </row>
    <row r="96" spans="1:29">
      <c r="A96" s="4">
        <f>DUT!T97</f>
        <v>26.5001</v>
      </c>
      <c r="B96" s="4">
        <f t="shared" si="48"/>
        <v>0</v>
      </c>
      <c r="C96" s="4">
        <f t="shared" si="49"/>
        <v>0</v>
      </c>
      <c r="D96" s="4">
        <f t="shared" si="50"/>
        <v>5</v>
      </c>
      <c r="E96" s="4">
        <f t="shared" si="38"/>
        <v>0</v>
      </c>
      <c r="F96" s="4">
        <f t="shared" si="39"/>
        <v>0</v>
      </c>
      <c r="G96" s="4">
        <f t="shared" si="40"/>
        <v>0</v>
      </c>
      <c r="H96" s="4">
        <f t="shared" si="41"/>
        <v>0</v>
      </c>
      <c r="I96" s="4">
        <f t="shared" si="42"/>
        <v>5</v>
      </c>
      <c r="J96" s="4">
        <f t="shared" si="43"/>
        <v>0</v>
      </c>
      <c r="K96" s="4">
        <f t="shared" si="44"/>
        <v>0</v>
      </c>
      <c r="L96" s="4">
        <f t="shared" si="45"/>
        <v>0</v>
      </c>
      <c r="M96" s="4">
        <f t="shared" si="46"/>
        <v>0</v>
      </c>
      <c r="N96" s="4">
        <f t="shared" si="47"/>
        <v>0</v>
      </c>
      <c r="P96" s="4">
        <f>DUT!U97</f>
        <v>26.5001</v>
      </c>
      <c r="Q96" s="4">
        <f t="shared" si="51"/>
        <v>0</v>
      </c>
      <c r="R96" s="4">
        <f t="shared" si="52"/>
        <v>0</v>
      </c>
      <c r="S96" s="4">
        <f t="shared" si="53"/>
        <v>5</v>
      </c>
      <c r="T96" s="4">
        <f t="shared" si="54"/>
        <v>0</v>
      </c>
      <c r="U96" s="4">
        <f t="shared" si="55"/>
        <v>0</v>
      </c>
      <c r="V96" s="4">
        <f t="shared" si="56"/>
        <v>0</v>
      </c>
      <c r="W96" s="4">
        <f t="shared" si="57"/>
        <v>0</v>
      </c>
      <c r="X96" s="4">
        <f t="shared" si="58"/>
        <v>5</v>
      </c>
      <c r="Y96" s="4">
        <f t="shared" si="59"/>
        <v>0</v>
      </c>
      <c r="Z96" s="4">
        <f t="shared" si="60"/>
        <v>0</v>
      </c>
      <c r="AA96" s="4">
        <f t="shared" si="61"/>
        <v>0</v>
      </c>
      <c r="AB96" s="4">
        <f t="shared" si="62"/>
        <v>0</v>
      </c>
      <c r="AC96" s="4">
        <f t="shared" si="63"/>
        <v>0</v>
      </c>
    </row>
    <row r="97" spans="1:29">
      <c r="A97" s="4">
        <f>DUT!T98</f>
        <v>26.5001</v>
      </c>
      <c r="B97" s="4">
        <f t="shared" si="48"/>
        <v>0</v>
      </c>
      <c r="C97" s="4">
        <f t="shared" si="49"/>
        <v>0</v>
      </c>
      <c r="D97" s="4">
        <f t="shared" si="50"/>
        <v>5</v>
      </c>
      <c r="E97" s="4">
        <f t="shared" si="38"/>
        <v>0</v>
      </c>
      <c r="F97" s="4">
        <f t="shared" si="39"/>
        <v>0</v>
      </c>
      <c r="G97" s="4">
        <f t="shared" si="40"/>
        <v>0</v>
      </c>
      <c r="H97" s="4">
        <f t="shared" si="41"/>
        <v>0</v>
      </c>
      <c r="I97" s="4">
        <f t="shared" si="42"/>
        <v>5</v>
      </c>
      <c r="J97" s="4">
        <f t="shared" si="43"/>
        <v>0</v>
      </c>
      <c r="K97" s="4">
        <f t="shared" si="44"/>
        <v>0</v>
      </c>
      <c r="L97" s="4">
        <f t="shared" si="45"/>
        <v>0</v>
      </c>
      <c r="M97" s="4">
        <f t="shared" si="46"/>
        <v>0</v>
      </c>
      <c r="N97" s="4">
        <f t="shared" si="47"/>
        <v>0</v>
      </c>
      <c r="P97" s="4">
        <f>DUT!U98</f>
        <v>26.5001</v>
      </c>
      <c r="Q97" s="4">
        <f t="shared" si="51"/>
        <v>0</v>
      </c>
      <c r="R97" s="4">
        <f t="shared" si="52"/>
        <v>0</v>
      </c>
      <c r="S97" s="4">
        <f t="shared" si="53"/>
        <v>5</v>
      </c>
      <c r="T97" s="4">
        <f t="shared" si="54"/>
        <v>0</v>
      </c>
      <c r="U97" s="4">
        <f t="shared" si="55"/>
        <v>0</v>
      </c>
      <c r="V97" s="4">
        <f t="shared" si="56"/>
        <v>0</v>
      </c>
      <c r="W97" s="4">
        <f t="shared" si="57"/>
        <v>0</v>
      </c>
      <c r="X97" s="4">
        <f t="shared" si="58"/>
        <v>5</v>
      </c>
      <c r="Y97" s="4">
        <f t="shared" si="59"/>
        <v>0</v>
      </c>
      <c r="Z97" s="4">
        <f t="shared" si="60"/>
        <v>0</v>
      </c>
      <c r="AA97" s="4">
        <f t="shared" si="61"/>
        <v>0</v>
      </c>
      <c r="AB97" s="4">
        <f t="shared" si="62"/>
        <v>0</v>
      </c>
      <c r="AC97" s="4">
        <f t="shared" si="63"/>
        <v>0</v>
      </c>
    </row>
    <row r="98" spans="1:29">
      <c r="A98" s="4">
        <f>DUT!T99</f>
        <v>26.5001</v>
      </c>
      <c r="B98" s="4">
        <f t="shared" si="48"/>
        <v>0</v>
      </c>
      <c r="C98" s="4">
        <f t="shared" si="49"/>
        <v>0</v>
      </c>
      <c r="D98" s="4">
        <f t="shared" si="50"/>
        <v>5</v>
      </c>
      <c r="E98" s="4">
        <f t="shared" si="38"/>
        <v>0</v>
      </c>
      <c r="F98" s="4">
        <f t="shared" si="39"/>
        <v>0</v>
      </c>
      <c r="G98" s="4">
        <f t="shared" si="40"/>
        <v>0</v>
      </c>
      <c r="H98" s="4">
        <f t="shared" si="41"/>
        <v>0</v>
      </c>
      <c r="I98" s="4">
        <f t="shared" si="42"/>
        <v>5</v>
      </c>
      <c r="J98" s="4">
        <f t="shared" si="43"/>
        <v>0</v>
      </c>
      <c r="K98" s="4">
        <f t="shared" si="44"/>
        <v>0</v>
      </c>
      <c r="L98" s="4">
        <f t="shared" si="45"/>
        <v>0</v>
      </c>
      <c r="M98" s="4">
        <f t="shared" si="46"/>
        <v>0</v>
      </c>
      <c r="N98" s="4">
        <f t="shared" si="47"/>
        <v>0</v>
      </c>
      <c r="P98" s="4">
        <f>DUT!U99</f>
        <v>26.5001</v>
      </c>
      <c r="Q98" s="4">
        <f t="shared" si="51"/>
        <v>0</v>
      </c>
      <c r="R98" s="4">
        <f t="shared" si="52"/>
        <v>0</v>
      </c>
      <c r="S98" s="4">
        <f t="shared" si="53"/>
        <v>5</v>
      </c>
      <c r="T98" s="4">
        <f t="shared" si="54"/>
        <v>0</v>
      </c>
      <c r="U98" s="4">
        <f t="shared" si="55"/>
        <v>0</v>
      </c>
      <c r="V98" s="4">
        <f t="shared" si="56"/>
        <v>0</v>
      </c>
      <c r="W98" s="4">
        <f t="shared" si="57"/>
        <v>0</v>
      </c>
      <c r="X98" s="4">
        <f t="shared" si="58"/>
        <v>5</v>
      </c>
      <c r="Y98" s="4">
        <f t="shared" si="59"/>
        <v>0</v>
      </c>
      <c r="Z98" s="4">
        <f t="shared" si="60"/>
        <v>0</v>
      </c>
      <c r="AA98" s="4">
        <f t="shared" si="61"/>
        <v>0</v>
      </c>
      <c r="AB98" s="4">
        <f t="shared" si="62"/>
        <v>0</v>
      </c>
      <c r="AC98" s="4">
        <f t="shared" si="63"/>
        <v>0</v>
      </c>
    </row>
    <row r="99" spans="1:29">
      <c r="A99" s="4">
        <f>DUT!T100</f>
        <v>26.5001</v>
      </c>
      <c r="B99" s="4">
        <f t="shared" si="48"/>
        <v>0</v>
      </c>
      <c r="C99" s="4">
        <f t="shared" si="49"/>
        <v>0</v>
      </c>
      <c r="D99" s="4">
        <f t="shared" si="50"/>
        <v>5</v>
      </c>
      <c r="E99" s="4">
        <f t="shared" si="38"/>
        <v>0</v>
      </c>
      <c r="F99" s="4">
        <f t="shared" si="39"/>
        <v>0</v>
      </c>
      <c r="G99" s="4">
        <f t="shared" si="40"/>
        <v>0</v>
      </c>
      <c r="H99" s="4">
        <f t="shared" si="41"/>
        <v>0</v>
      </c>
      <c r="I99" s="4">
        <f t="shared" si="42"/>
        <v>5</v>
      </c>
      <c r="J99" s="4">
        <f t="shared" si="43"/>
        <v>0</v>
      </c>
      <c r="K99" s="4">
        <f t="shared" si="44"/>
        <v>0</v>
      </c>
      <c r="L99" s="4">
        <f t="shared" si="45"/>
        <v>0</v>
      </c>
      <c r="M99" s="4">
        <f t="shared" si="46"/>
        <v>0</v>
      </c>
      <c r="N99" s="4">
        <f t="shared" si="47"/>
        <v>0</v>
      </c>
      <c r="P99" s="4">
        <f>DUT!U100</f>
        <v>26.5001</v>
      </c>
      <c r="Q99" s="4">
        <f t="shared" si="51"/>
        <v>0</v>
      </c>
      <c r="R99" s="4">
        <f t="shared" si="52"/>
        <v>0</v>
      </c>
      <c r="S99" s="4">
        <f t="shared" si="53"/>
        <v>5</v>
      </c>
      <c r="T99" s="4">
        <f t="shared" si="54"/>
        <v>0</v>
      </c>
      <c r="U99" s="4">
        <f t="shared" si="55"/>
        <v>0</v>
      </c>
      <c r="V99" s="4">
        <f t="shared" si="56"/>
        <v>0</v>
      </c>
      <c r="W99" s="4">
        <f t="shared" si="57"/>
        <v>0</v>
      </c>
      <c r="X99" s="4">
        <f t="shared" si="58"/>
        <v>5</v>
      </c>
      <c r="Y99" s="4">
        <f t="shared" si="59"/>
        <v>0</v>
      </c>
      <c r="Z99" s="4">
        <f t="shared" si="60"/>
        <v>0</v>
      </c>
      <c r="AA99" s="4">
        <f t="shared" si="61"/>
        <v>0</v>
      </c>
      <c r="AB99" s="4">
        <f t="shared" si="62"/>
        <v>0</v>
      </c>
      <c r="AC99" s="4">
        <f t="shared" si="63"/>
        <v>0</v>
      </c>
    </row>
    <row r="100" spans="1:29">
      <c r="A100" s="4">
        <f>DUT!T101</f>
        <v>26.5001</v>
      </c>
      <c r="B100" s="4">
        <f t="shared" si="48"/>
        <v>0</v>
      </c>
      <c r="C100" s="4">
        <f t="shared" si="49"/>
        <v>0</v>
      </c>
      <c r="D100" s="4">
        <f t="shared" si="50"/>
        <v>5</v>
      </c>
      <c r="E100" s="4">
        <f t="shared" si="38"/>
        <v>0</v>
      </c>
      <c r="F100" s="4">
        <f t="shared" si="39"/>
        <v>0</v>
      </c>
      <c r="G100" s="4">
        <f t="shared" si="40"/>
        <v>0</v>
      </c>
      <c r="H100" s="4">
        <f t="shared" si="41"/>
        <v>0</v>
      </c>
      <c r="I100" s="4">
        <f t="shared" si="42"/>
        <v>5</v>
      </c>
      <c r="J100" s="4">
        <f t="shared" si="43"/>
        <v>0</v>
      </c>
      <c r="K100" s="4">
        <f t="shared" si="44"/>
        <v>0</v>
      </c>
      <c r="L100" s="4">
        <f t="shared" si="45"/>
        <v>0</v>
      </c>
      <c r="M100" s="4">
        <f t="shared" si="46"/>
        <v>0</v>
      </c>
      <c r="N100" s="4">
        <f t="shared" si="47"/>
        <v>0</v>
      </c>
      <c r="P100" s="4">
        <f>DUT!U101</f>
        <v>26.5001</v>
      </c>
      <c r="Q100" s="4">
        <f t="shared" si="51"/>
        <v>0</v>
      </c>
      <c r="R100" s="4">
        <f t="shared" si="52"/>
        <v>0</v>
      </c>
      <c r="S100" s="4">
        <f t="shared" si="53"/>
        <v>5</v>
      </c>
      <c r="T100" s="4">
        <f t="shared" si="54"/>
        <v>0</v>
      </c>
      <c r="U100" s="4">
        <f t="shared" si="55"/>
        <v>0</v>
      </c>
      <c r="V100" s="4">
        <f t="shared" si="56"/>
        <v>0</v>
      </c>
      <c r="W100" s="4">
        <f t="shared" si="57"/>
        <v>0</v>
      </c>
      <c r="X100" s="4">
        <f t="shared" si="58"/>
        <v>5</v>
      </c>
      <c r="Y100" s="4">
        <f t="shared" si="59"/>
        <v>0</v>
      </c>
      <c r="Z100" s="4">
        <f t="shared" si="60"/>
        <v>0</v>
      </c>
      <c r="AA100" s="4">
        <f t="shared" si="61"/>
        <v>0</v>
      </c>
      <c r="AB100" s="4">
        <f t="shared" si="62"/>
        <v>0</v>
      </c>
      <c r="AC100" s="4">
        <f t="shared" si="63"/>
        <v>0</v>
      </c>
    </row>
    <row r="101" spans="1:29">
      <c r="A101" s="4">
        <f>DUT!T102</f>
        <v>26.5001</v>
      </c>
      <c r="B101" s="4">
        <f t="shared" si="48"/>
        <v>0</v>
      </c>
      <c r="C101" s="4">
        <f t="shared" si="49"/>
        <v>0</v>
      </c>
      <c r="D101" s="4">
        <f t="shared" si="50"/>
        <v>5</v>
      </c>
      <c r="E101" s="4">
        <f t="shared" ref="E101:E106" si="64">1*AND($A101&gt;=$AE$4,$A101&lt;$AF$4)</f>
        <v>0</v>
      </c>
      <c r="F101" s="4">
        <f t="shared" ref="F101:F106" si="65">2*AND($A101&gt;=$AE$5,$A101&lt;$AF$5)</f>
        <v>0</v>
      </c>
      <c r="G101" s="4">
        <f t="shared" ref="G101:G106" si="66">3*AND($A101&gt;=$AE$6,$A101&lt;$AF$6)</f>
        <v>0</v>
      </c>
      <c r="H101" s="4">
        <f t="shared" ref="H101:H106" si="67">4*AND($A101&gt;=$AE$7,$A101&lt;$AF$7)</f>
        <v>0</v>
      </c>
      <c r="I101" s="4">
        <f t="shared" ref="I101:I106" si="68">5*AND($A101&gt;=$AE$8,$A101&lt;$AF$8)</f>
        <v>5</v>
      </c>
      <c r="J101" s="4">
        <f t="shared" ref="J101:J106" si="69">6*AND($A101&gt;=$AE$9,$A101&lt;$AF$9)</f>
        <v>0</v>
      </c>
      <c r="K101" s="4">
        <f t="shared" ref="K101:K106" si="70">7*AND($A101&gt;=$AE$10,$A101&lt;$AF$10)</f>
        <v>0</v>
      </c>
      <c r="L101" s="4">
        <f t="shared" ref="L101:L106" si="71">8*AND($A101&gt;=$AE$11,$A101&lt;$AF$11)</f>
        <v>0</v>
      </c>
      <c r="M101" s="4">
        <f t="shared" ref="M101:M106" si="72">9*AND($A101&gt;=$AE$12,$A101&lt;$AF$12)</f>
        <v>0</v>
      </c>
      <c r="N101" s="4">
        <f t="shared" ref="N101:N106" si="73">10*AND($A101&gt;=$AE$13,$A101&lt;$AF$13)</f>
        <v>0</v>
      </c>
      <c r="P101" s="4">
        <f>DUT!U102</f>
        <v>26.5001</v>
      </c>
      <c r="Q101" s="4">
        <f t="shared" si="51"/>
        <v>0</v>
      </c>
      <c r="R101" s="4">
        <f t="shared" si="52"/>
        <v>0</v>
      </c>
      <c r="S101" s="4">
        <f t="shared" si="53"/>
        <v>5</v>
      </c>
      <c r="T101" s="4">
        <f t="shared" si="54"/>
        <v>0</v>
      </c>
      <c r="U101" s="4">
        <f t="shared" si="55"/>
        <v>0</v>
      </c>
      <c r="V101" s="4">
        <f t="shared" si="56"/>
        <v>0</v>
      </c>
      <c r="W101" s="4">
        <f t="shared" si="57"/>
        <v>0</v>
      </c>
      <c r="X101" s="4">
        <f t="shared" si="58"/>
        <v>5</v>
      </c>
      <c r="Y101" s="4">
        <f t="shared" si="59"/>
        <v>0</v>
      </c>
      <c r="Z101" s="4">
        <f t="shared" si="60"/>
        <v>0</v>
      </c>
      <c r="AA101" s="4">
        <f t="shared" si="61"/>
        <v>0</v>
      </c>
      <c r="AB101" s="4">
        <f t="shared" si="62"/>
        <v>0</v>
      </c>
      <c r="AC101" s="4">
        <f t="shared" si="63"/>
        <v>0</v>
      </c>
    </row>
    <row r="102" spans="1:29">
      <c r="A102" s="4">
        <f>DUT!T103</f>
        <v>26.5001</v>
      </c>
      <c r="B102" s="4">
        <f t="shared" si="48"/>
        <v>0</v>
      </c>
      <c r="C102" s="4">
        <f t="shared" si="49"/>
        <v>0</v>
      </c>
      <c r="D102" s="4">
        <f t="shared" si="50"/>
        <v>5</v>
      </c>
      <c r="E102" s="4">
        <f t="shared" si="64"/>
        <v>0</v>
      </c>
      <c r="F102" s="4">
        <f t="shared" si="65"/>
        <v>0</v>
      </c>
      <c r="G102" s="4">
        <f t="shared" si="66"/>
        <v>0</v>
      </c>
      <c r="H102" s="4">
        <f t="shared" si="67"/>
        <v>0</v>
      </c>
      <c r="I102" s="4">
        <f t="shared" si="68"/>
        <v>5</v>
      </c>
      <c r="J102" s="4">
        <f t="shared" si="69"/>
        <v>0</v>
      </c>
      <c r="K102" s="4">
        <f t="shared" si="70"/>
        <v>0</v>
      </c>
      <c r="L102" s="4">
        <f t="shared" si="71"/>
        <v>0</v>
      </c>
      <c r="M102" s="4">
        <f t="shared" si="72"/>
        <v>0</v>
      </c>
      <c r="N102" s="4">
        <f t="shared" si="73"/>
        <v>0</v>
      </c>
      <c r="P102" s="4">
        <f>DUT!U103</f>
        <v>26.5001</v>
      </c>
      <c r="Q102" s="4">
        <f t="shared" si="51"/>
        <v>0</v>
      </c>
      <c r="R102" s="4">
        <f t="shared" si="52"/>
        <v>0</v>
      </c>
      <c r="S102" s="4">
        <f t="shared" si="53"/>
        <v>5</v>
      </c>
      <c r="T102" s="4">
        <f t="shared" si="54"/>
        <v>0</v>
      </c>
      <c r="U102" s="4">
        <f t="shared" si="55"/>
        <v>0</v>
      </c>
      <c r="V102" s="4">
        <f t="shared" si="56"/>
        <v>0</v>
      </c>
      <c r="W102" s="4">
        <f t="shared" si="57"/>
        <v>0</v>
      </c>
      <c r="X102" s="4">
        <f t="shared" si="58"/>
        <v>5</v>
      </c>
      <c r="Y102" s="4">
        <f t="shared" si="59"/>
        <v>0</v>
      </c>
      <c r="Z102" s="4">
        <f t="shared" si="60"/>
        <v>0</v>
      </c>
      <c r="AA102" s="4">
        <f t="shared" si="61"/>
        <v>0</v>
      </c>
      <c r="AB102" s="4">
        <f t="shared" si="62"/>
        <v>0</v>
      </c>
      <c r="AC102" s="4">
        <f t="shared" si="63"/>
        <v>0</v>
      </c>
    </row>
    <row r="103" spans="1:29">
      <c r="A103" s="4">
        <f>DUT!T104</f>
        <v>26.5001</v>
      </c>
      <c r="B103" s="4">
        <f t="shared" si="48"/>
        <v>0</v>
      </c>
      <c r="C103" s="4">
        <f t="shared" si="49"/>
        <v>0</v>
      </c>
      <c r="D103" s="4">
        <f t="shared" si="50"/>
        <v>5</v>
      </c>
      <c r="E103" s="4">
        <f t="shared" si="64"/>
        <v>0</v>
      </c>
      <c r="F103" s="4">
        <f t="shared" si="65"/>
        <v>0</v>
      </c>
      <c r="G103" s="4">
        <f t="shared" si="66"/>
        <v>0</v>
      </c>
      <c r="H103" s="4">
        <f t="shared" si="67"/>
        <v>0</v>
      </c>
      <c r="I103" s="4">
        <f t="shared" si="68"/>
        <v>5</v>
      </c>
      <c r="J103" s="4">
        <f t="shared" si="69"/>
        <v>0</v>
      </c>
      <c r="K103" s="4">
        <f t="shared" si="70"/>
        <v>0</v>
      </c>
      <c r="L103" s="4">
        <f t="shared" si="71"/>
        <v>0</v>
      </c>
      <c r="M103" s="4">
        <f t="shared" si="72"/>
        <v>0</v>
      </c>
      <c r="N103" s="4">
        <f t="shared" si="73"/>
        <v>0</v>
      </c>
      <c r="P103" s="4">
        <f>DUT!U104</f>
        <v>26.5001</v>
      </c>
      <c r="Q103" s="4">
        <f t="shared" si="51"/>
        <v>0</v>
      </c>
      <c r="R103" s="4">
        <f t="shared" si="52"/>
        <v>0</v>
      </c>
      <c r="S103" s="4">
        <f t="shared" si="53"/>
        <v>5</v>
      </c>
      <c r="T103" s="4">
        <f t="shared" si="54"/>
        <v>0</v>
      </c>
      <c r="U103" s="4">
        <f t="shared" si="55"/>
        <v>0</v>
      </c>
      <c r="V103" s="4">
        <f t="shared" si="56"/>
        <v>0</v>
      </c>
      <c r="W103" s="4">
        <f t="shared" si="57"/>
        <v>0</v>
      </c>
      <c r="X103" s="4">
        <f t="shared" si="58"/>
        <v>5</v>
      </c>
      <c r="Y103" s="4">
        <f t="shared" si="59"/>
        <v>0</v>
      </c>
      <c r="Z103" s="4">
        <f t="shared" si="60"/>
        <v>0</v>
      </c>
      <c r="AA103" s="4">
        <f t="shared" si="61"/>
        <v>0</v>
      </c>
      <c r="AB103" s="4">
        <f t="shared" si="62"/>
        <v>0</v>
      </c>
      <c r="AC103" s="4">
        <f t="shared" si="63"/>
        <v>0</v>
      </c>
    </row>
    <row r="104" spans="1:29">
      <c r="A104" s="4">
        <f>DUT!T105</f>
        <v>26.5001</v>
      </c>
      <c r="B104" s="4">
        <f t="shared" si="48"/>
        <v>0</v>
      </c>
      <c r="C104" s="4">
        <f t="shared" si="49"/>
        <v>0</v>
      </c>
      <c r="D104" s="4">
        <f t="shared" si="50"/>
        <v>5</v>
      </c>
      <c r="E104" s="4">
        <f t="shared" si="64"/>
        <v>0</v>
      </c>
      <c r="F104" s="4">
        <f t="shared" si="65"/>
        <v>0</v>
      </c>
      <c r="G104" s="4">
        <f t="shared" si="66"/>
        <v>0</v>
      </c>
      <c r="H104" s="4">
        <f t="shared" si="67"/>
        <v>0</v>
      </c>
      <c r="I104" s="4">
        <f t="shared" si="68"/>
        <v>5</v>
      </c>
      <c r="J104" s="4">
        <f t="shared" si="69"/>
        <v>0</v>
      </c>
      <c r="K104" s="4">
        <f t="shared" si="70"/>
        <v>0</v>
      </c>
      <c r="L104" s="4">
        <f t="shared" si="71"/>
        <v>0</v>
      </c>
      <c r="M104" s="4">
        <f t="shared" si="72"/>
        <v>0</v>
      </c>
      <c r="N104" s="4">
        <f t="shared" si="73"/>
        <v>0</v>
      </c>
      <c r="P104" s="4">
        <f>DUT!U105</f>
        <v>26.5001</v>
      </c>
      <c r="Q104" s="4">
        <f t="shared" si="51"/>
        <v>0</v>
      </c>
      <c r="R104" s="4">
        <f t="shared" si="52"/>
        <v>0</v>
      </c>
      <c r="S104" s="4">
        <f t="shared" si="53"/>
        <v>5</v>
      </c>
      <c r="T104" s="4">
        <f t="shared" si="54"/>
        <v>0</v>
      </c>
      <c r="U104" s="4">
        <f t="shared" si="55"/>
        <v>0</v>
      </c>
      <c r="V104" s="4">
        <f t="shared" si="56"/>
        <v>0</v>
      </c>
      <c r="W104" s="4">
        <f t="shared" si="57"/>
        <v>0</v>
      </c>
      <c r="X104" s="4">
        <f t="shared" si="58"/>
        <v>5</v>
      </c>
      <c r="Y104" s="4">
        <f t="shared" si="59"/>
        <v>0</v>
      </c>
      <c r="Z104" s="4">
        <f t="shared" si="60"/>
        <v>0</v>
      </c>
      <c r="AA104" s="4">
        <f t="shared" si="61"/>
        <v>0</v>
      </c>
      <c r="AB104" s="4">
        <f t="shared" si="62"/>
        <v>0</v>
      </c>
      <c r="AC104" s="4">
        <f t="shared" si="63"/>
        <v>0</v>
      </c>
    </row>
    <row r="105" spans="1:29">
      <c r="A105" s="4">
        <f>DUT!T106</f>
        <v>26.5001</v>
      </c>
      <c r="B105" s="4">
        <f t="shared" si="48"/>
        <v>0</v>
      </c>
      <c r="C105" s="4">
        <f t="shared" si="49"/>
        <v>0</v>
      </c>
      <c r="D105" s="4">
        <f t="shared" si="50"/>
        <v>5</v>
      </c>
      <c r="E105" s="4">
        <f t="shared" si="64"/>
        <v>0</v>
      </c>
      <c r="F105" s="4">
        <f t="shared" si="65"/>
        <v>0</v>
      </c>
      <c r="G105" s="4">
        <f t="shared" si="66"/>
        <v>0</v>
      </c>
      <c r="H105" s="4">
        <f t="shared" si="67"/>
        <v>0</v>
      </c>
      <c r="I105" s="4">
        <f t="shared" si="68"/>
        <v>5</v>
      </c>
      <c r="J105" s="4">
        <f t="shared" si="69"/>
        <v>0</v>
      </c>
      <c r="K105" s="4">
        <f t="shared" si="70"/>
        <v>0</v>
      </c>
      <c r="L105" s="4">
        <f t="shared" si="71"/>
        <v>0</v>
      </c>
      <c r="M105" s="4">
        <f t="shared" si="72"/>
        <v>0</v>
      </c>
      <c r="N105" s="4">
        <f t="shared" si="73"/>
        <v>0</v>
      </c>
      <c r="P105" s="4">
        <f>DUT!U106</f>
        <v>26.5001</v>
      </c>
      <c r="Q105" s="4">
        <f t="shared" si="51"/>
        <v>0</v>
      </c>
      <c r="R105" s="4">
        <f t="shared" si="52"/>
        <v>0</v>
      </c>
      <c r="S105" s="4">
        <f t="shared" si="53"/>
        <v>5</v>
      </c>
      <c r="T105" s="4">
        <f t="shared" si="54"/>
        <v>0</v>
      </c>
      <c r="U105" s="4">
        <f t="shared" si="55"/>
        <v>0</v>
      </c>
      <c r="V105" s="4">
        <f t="shared" si="56"/>
        <v>0</v>
      </c>
      <c r="W105" s="4">
        <f t="shared" si="57"/>
        <v>0</v>
      </c>
      <c r="X105" s="4">
        <f t="shared" si="58"/>
        <v>5</v>
      </c>
      <c r="Y105" s="4">
        <f t="shared" si="59"/>
        <v>0</v>
      </c>
      <c r="Z105" s="4">
        <f t="shared" si="60"/>
        <v>0</v>
      </c>
      <c r="AA105" s="4">
        <f t="shared" si="61"/>
        <v>0</v>
      </c>
      <c r="AB105" s="4">
        <f t="shared" si="62"/>
        <v>0</v>
      </c>
      <c r="AC105" s="4">
        <f t="shared" si="63"/>
        <v>0</v>
      </c>
    </row>
    <row r="106" spans="1:29">
      <c r="A106" s="4">
        <f>DUT!T107</f>
        <v>26.5001</v>
      </c>
      <c r="B106" s="4">
        <f t="shared" si="48"/>
        <v>0</v>
      </c>
      <c r="C106" s="4">
        <f t="shared" si="49"/>
        <v>0</v>
      </c>
      <c r="D106" s="4">
        <f t="shared" si="50"/>
        <v>5</v>
      </c>
      <c r="E106" s="4">
        <f t="shared" si="64"/>
        <v>0</v>
      </c>
      <c r="F106" s="4">
        <f t="shared" si="65"/>
        <v>0</v>
      </c>
      <c r="G106" s="4">
        <f t="shared" si="66"/>
        <v>0</v>
      </c>
      <c r="H106" s="4">
        <f t="shared" si="67"/>
        <v>0</v>
      </c>
      <c r="I106" s="4">
        <f t="shared" si="68"/>
        <v>5</v>
      </c>
      <c r="J106" s="4">
        <f t="shared" si="69"/>
        <v>0</v>
      </c>
      <c r="K106" s="4">
        <f t="shared" si="70"/>
        <v>0</v>
      </c>
      <c r="L106" s="4">
        <f t="shared" si="71"/>
        <v>0</v>
      </c>
      <c r="M106" s="4">
        <f t="shared" si="72"/>
        <v>0</v>
      </c>
      <c r="N106" s="4">
        <f t="shared" si="73"/>
        <v>0</v>
      </c>
      <c r="P106" s="4">
        <f>DUT!U107</f>
        <v>26.5001</v>
      </c>
      <c r="Q106" s="4">
        <f t="shared" si="51"/>
        <v>0</v>
      </c>
      <c r="R106" s="4">
        <f t="shared" si="52"/>
        <v>0</v>
      </c>
      <c r="S106" s="4">
        <f t="shared" si="53"/>
        <v>5</v>
      </c>
      <c r="T106" s="4">
        <f t="shared" si="54"/>
        <v>0</v>
      </c>
      <c r="U106" s="4">
        <f t="shared" si="55"/>
        <v>0</v>
      </c>
      <c r="V106" s="4">
        <f t="shared" si="56"/>
        <v>0</v>
      </c>
      <c r="W106" s="4">
        <f t="shared" si="57"/>
        <v>0</v>
      </c>
      <c r="X106" s="4">
        <f t="shared" si="58"/>
        <v>5</v>
      </c>
      <c r="Y106" s="4">
        <f t="shared" si="59"/>
        <v>0</v>
      </c>
      <c r="Z106" s="4">
        <f t="shared" si="60"/>
        <v>0</v>
      </c>
      <c r="AA106" s="4">
        <f t="shared" si="61"/>
        <v>0</v>
      </c>
      <c r="AB106" s="4">
        <f t="shared" si="62"/>
        <v>0</v>
      </c>
      <c r="AC106" s="4">
        <f t="shared" si="63"/>
        <v>0</v>
      </c>
    </row>
  </sheetData>
  <sheetProtection algorithmName="SHA-512" hashValue="SuMKRIcEkmDlqMQnSD9E7PckREAqvdLs++XVVoPhedm7yRqQXI+mqUr8PbfM0+eJ1ljZ1650J6w7O+OtpLKv4g==" saltValue="vj5lLGmo8wnf9PHILvhn0g==" spinCount="100000" sheet="1" objects="1" scenarios="1" selectLockedCells="1" selectUnlockedCells="1"/>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65" id="{00000000-000E-0000-0700-000001000000}">
            <xm:f>DUT!$U6&gt;DashBoard!$K$6</xm:f>
            <x14:dxf>
              <font>
                <color theme="0"/>
              </font>
            </x14:dxf>
          </x14:cfRule>
          <xm:sqref>A5:AC106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BI106"/>
  <sheetViews>
    <sheetView topLeftCell="BJ1" workbookViewId="0">
      <selection activeCell="BI1" sqref="A1:BI1048576"/>
    </sheetView>
  </sheetViews>
  <sheetFormatPr defaultColWidth="8.81640625" defaultRowHeight="14.5"/>
  <cols>
    <col min="1" max="1" width="6.26953125" style="91" hidden="1" customWidth="1"/>
    <col min="2" max="3" width="8.81640625" style="92" hidden="1" customWidth="1"/>
    <col min="4" max="4" width="8.81640625" style="93" hidden="1" customWidth="1"/>
    <col min="5" max="5" width="9.26953125" style="92" hidden="1" customWidth="1"/>
    <col min="6" max="6" width="9.7265625" style="92" hidden="1" customWidth="1"/>
    <col min="7" max="7" width="7" style="93" hidden="1" customWidth="1"/>
    <col min="8" max="10" width="9.7265625" style="94" hidden="1" customWidth="1"/>
    <col min="11" max="11" width="9.453125" style="95" hidden="1" customWidth="1"/>
    <col min="12" max="12" width="8.26953125" style="93" hidden="1" customWidth="1"/>
    <col min="13" max="15" width="8.7265625" style="94" hidden="1" customWidth="1"/>
    <col min="16" max="16" width="8.81640625" style="91" hidden="1" customWidth="1"/>
    <col min="17" max="17" width="9.26953125" style="91" hidden="1" customWidth="1"/>
    <col min="18" max="18" width="9.54296875" style="94" hidden="1" customWidth="1"/>
    <col min="19" max="19" width="5.453125" style="91" hidden="1" customWidth="1"/>
    <col min="20" max="20" width="10.7265625" style="93" hidden="1" customWidth="1"/>
    <col min="21" max="22" width="5.453125" style="93" hidden="1" customWidth="1"/>
    <col min="23" max="25" width="8.54296875" style="94" hidden="1" customWidth="1"/>
    <col min="26" max="33" width="8.81640625" style="91" hidden="1" customWidth="1"/>
    <col min="34" max="37" width="10.81640625" style="91" hidden="1" customWidth="1"/>
    <col min="38" max="39" width="8.81640625" style="91" hidden="1" customWidth="1"/>
    <col min="40" max="40" width="12" style="91" hidden="1" customWidth="1"/>
    <col min="41" max="45" width="8.81640625" style="91" hidden="1" customWidth="1"/>
    <col min="46" max="46" width="12" style="91" hidden="1" customWidth="1"/>
    <col min="47" max="47" width="8.81640625" style="91" hidden="1" customWidth="1"/>
    <col min="48" max="48" width="7.7265625" style="93" hidden="1" customWidth="1"/>
    <col min="49" max="49" width="7.26953125" style="93" hidden="1" customWidth="1"/>
    <col min="50" max="59" width="8.81640625" style="93" hidden="1" customWidth="1"/>
    <col min="60" max="61" width="8.81640625" style="91" hidden="1" customWidth="1"/>
    <col min="62" max="16384" width="8.81640625" style="100"/>
  </cols>
  <sheetData>
    <row r="1" spans="1:61">
      <c r="A1" s="91" t="s">
        <v>43</v>
      </c>
      <c r="B1" s="92">
        <v>290</v>
      </c>
      <c r="C1" s="92" t="s">
        <v>75</v>
      </c>
      <c r="D1" s="93">
        <v>0.8</v>
      </c>
      <c r="E1" s="92" t="s">
        <v>238</v>
      </c>
      <c r="F1" s="94">
        <f>k_mw*BW</f>
        <v>4.9287420000000001E-14</v>
      </c>
      <c r="H1" s="94" t="s">
        <v>78</v>
      </c>
      <c r="I1" s="94">
        <v>0.70699999999999996</v>
      </c>
      <c r="AH1" s="91">
        <f>NseSrcConf</f>
        <v>0.70710678118654757</v>
      </c>
      <c r="AV1" s="93" t="s">
        <v>229</v>
      </c>
      <c r="AX1" s="93" t="s">
        <v>0</v>
      </c>
    </row>
    <row r="2" spans="1:61">
      <c r="A2" s="91" t="s">
        <v>50</v>
      </c>
      <c r="B2" s="94">
        <v>1.3806E-20</v>
      </c>
      <c r="C2" s="92" t="s">
        <v>51</v>
      </c>
      <c r="D2" s="93">
        <f>10*LOG10(k_mw*T_0)</f>
        <v>-173.97534133048759</v>
      </c>
      <c r="E2" s="92" t="s">
        <v>58</v>
      </c>
      <c r="F2" s="92">
        <f>FieldFox!BZ4</f>
        <v>3570000</v>
      </c>
      <c r="H2" s="94" t="s">
        <v>79</v>
      </c>
      <c r="I2" s="94">
        <v>0.40899999999999997</v>
      </c>
      <c r="N2" s="96" t="s">
        <v>154</v>
      </c>
      <c r="O2" s="96"/>
      <c r="AL2" s="91" t="s">
        <v>110</v>
      </c>
    </row>
    <row r="3" spans="1:61">
      <c r="B3" s="92" t="s">
        <v>48</v>
      </c>
      <c r="E3" s="92" t="s">
        <v>49</v>
      </c>
      <c r="N3" s="96"/>
      <c r="O3" s="96"/>
      <c r="P3" s="91" t="s">
        <v>64</v>
      </c>
      <c r="T3" s="93" t="s">
        <v>66</v>
      </c>
      <c r="W3" s="94" t="s">
        <v>76</v>
      </c>
      <c r="Z3" s="91" t="s">
        <v>77</v>
      </c>
      <c r="AL3" s="91" t="s">
        <v>114</v>
      </c>
      <c r="BH3" s="91" t="s">
        <v>171</v>
      </c>
    </row>
    <row r="4" spans="1:61">
      <c r="A4" s="91" t="s">
        <v>39</v>
      </c>
      <c r="B4" s="92" t="s">
        <v>42</v>
      </c>
      <c r="C4" s="92" t="s">
        <v>45</v>
      </c>
      <c r="D4" s="93" t="s">
        <v>46</v>
      </c>
      <c r="E4" s="92" t="s">
        <v>47</v>
      </c>
      <c r="F4" s="92" t="s">
        <v>52</v>
      </c>
      <c r="G4" s="93" t="s">
        <v>54</v>
      </c>
      <c r="H4" s="94" t="s">
        <v>53</v>
      </c>
      <c r="I4" s="94" t="s">
        <v>55</v>
      </c>
      <c r="J4" s="94" t="s">
        <v>56</v>
      </c>
      <c r="K4" s="95" t="s">
        <v>57</v>
      </c>
      <c r="L4" s="93" t="s">
        <v>59</v>
      </c>
      <c r="M4" s="94" t="s">
        <v>65</v>
      </c>
      <c r="N4" s="96" t="s">
        <v>60</v>
      </c>
      <c r="O4" s="96" t="s">
        <v>61</v>
      </c>
      <c r="P4" s="91" t="s">
        <v>60</v>
      </c>
      <c r="Q4" s="91" t="s">
        <v>61</v>
      </c>
      <c r="R4" s="94" t="s">
        <v>62</v>
      </c>
      <c r="S4" s="91" t="s">
        <v>63</v>
      </c>
      <c r="T4" s="93" t="s">
        <v>67</v>
      </c>
      <c r="U4" s="93" t="s">
        <v>68</v>
      </c>
      <c r="V4" s="93" t="s">
        <v>69</v>
      </c>
      <c r="W4" s="94" t="s">
        <v>67</v>
      </c>
      <c r="X4" s="94" t="s">
        <v>68</v>
      </c>
      <c r="Y4" s="94" t="s">
        <v>69</v>
      </c>
      <c r="Z4" s="94" t="s">
        <v>84</v>
      </c>
      <c r="AA4" s="94" t="s">
        <v>88</v>
      </c>
      <c r="AB4" s="94" t="s">
        <v>85</v>
      </c>
      <c r="AC4" s="94" t="s">
        <v>91</v>
      </c>
      <c r="AD4" s="94" t="s">
        <v>340</v>
      </c>
      <c r="AE4" s="94" t="s">
        <v>335</v>
      </c>
      <c r="AF4" s="94" t="s">
        <v>336</v>
      </c>
      <c r="AG4" s="94" t="s">
        <v>337</v>
      </c>
      <c r="AH4" s="94" t="s">
        <v>89</v>
      </c>
      <c r="AI4" s="94" t="s">
        <v>338</v>
      </c>
      <c r="AJ4" s="94" t="s">
        <v>339</v>
      </c>
      <c r="AK4" s="94" t="s">
        <v>90</v>
      </c>
      <c r="AL4" s="94" t="s">
        <v>92</v>
      </c>
      <c r="AM4" s="94" t="s">
        <v>93</v>
      </c>
      <c r="AN4" s="97" t="s">
        <v>96</v>
      </c>
      <c r="AO4" s="94" t="s">
        <v>94</v>
      </c>
      <c r="AP4" s="94" t="s">
        <v>95</v>
      </c>
      <c r="AQ4" s="97" t="s">
        <v>97</v>
      </c>
      <c r="AR4" s="97" t="s">
        <v>98</v>
      </c>
      <c r="AS4" s="97" t="s">
        <v>99</v>
      </c>
      <c r="AT4" s="94" t="s">
        <v>100</v>
      </c>
      <c r="AU4" s="94" t="s">
        <v>101</v>
      </c>
      <c r="AV4" s="93" t="s">
        <v>100</v>
      </c>
      <c r="AW4" s="93" t="s">
        <v>0</v>
      </c>
      <c r="AX4" s="93" t="s">
        <v>92</v>
      </c>
      <c r="AY4" s="93" t="s">
        <v>0</v>
      </c>
      <c r="AZ4" s="93" t="s">
        <v>93</v>
      </c>
      <c r="BB4" s="93" t="s">
        <v>94</v>
      </c>
      <c r="BD4" s="93" t="s">
        <v>95</v>
      </c>
      <c r="BF4" s="93" t="s">
        <v>230</v>
      </c>
      <c r="BH4" s="91" t="s">
        <v>234</v>
      </c>
    </row>
    <row r="5" spans="1:61">
      <c r="A5" s="91">
        <f>StartFreqGHz</f>
        <v>0.1</v>
      </c>
      <c r="B5" s="92">
        <f>T_0*(1+10^('User Cal. Noise Std'!AA6/10))</f>
        <v>4886.1902581372296</v>
      </c>
      <c r="C5" s="92">
        <f t="shared" ref="C5:C36" si="0">CalAmbient</f>
        <v>296</v>
      </c>
      <c r="D5" s="93">
        <f t="shared" ref="D5:D36" si="1">CalAmbient+FFAmbientOffset</f>
        <v>296</v>
      </c>
      <c r="E5" s="92">
        <f>IF(UsePreamp,T_0*(10^(Preamp!AE6/10)-1),0)</f>
        <v>864.51079460514211</v>
      </c>
      <c r="F5" s="92">
        <f>T_0*(10^((FieldFox!B5-kT0dB)/10)-1)</f>
        <v>3340.2131944609264</v>
      </c>
      <c r="G5" s="93">
        <f>IF(UsePreamp,10^(Preamp!AD6/10),1)</f>
        <v>40.982646498098255</v>
      </c>
      <c r="H5" s="94">
        <f t="shared" ref="H5:H36" si="2">((B5+E5)*G5+F5)*k_mw*$F$2</f>
        <v>1.1780637803621117E-8</v>
      </c>
      <c r="I5" s="94">
        <f>((C5+E5)*G5+F5)*k_mw*$F$2</f>
        <v>2.5087797957647001E-9</v>
      </c>
      <c r="J5" s="94">
        <f>MIN(I5,(D5+F5)*k_mw*$F$2)</f>
        <v>1.7921956692493733E-10</v>
      </c>
      <c r="K5" s="95">
        <f t="shared" ref="K5:K36" si="3">(B5*I5-C5*H5-(B5-C5)*(J5-C5*k_mw*$F$2))/(H5-I5)</f>
        <v>864.51079460514188</v>
      </c>
      <c r="L5" s="93">
        <f t="shared" ref="L5:L36" si="4">(H5-I5)/(B5-C5)/k_mw/$F$2</f>
        <v>40.982646498098262</v>
      </c>
      <c r="M5" s="94">
        <f>((B5*I5-C5*H5)/(B5-C5))-(J5-C5*k_mw*$F$2)</f>
        <v>1.7462503476034265E-9</v>
      </c>
      <c r="N5" s="94">
        <f>E5*G5*k_mw*BW</f>
        <v>1.7462503476034269E-9</v>
      </c>
      <c r="O5" s="94">
        <f>B5*G5*k_mw*BW</f>
        <v>9.8697569654127533E-9</v>
      </c>
      <c r="P5" s="91">
        <f t="shared" ref="P5:P36" si="5">B5/(B5-C5)</f>
        <v>1.0644853444746147</v>
      </c>
      <c r="Q5" s="94">
        <f t="shared" ref="Q5:Q36" si="6">C5/(B5-C5)</f>
        <v>6.4485344474614736E-2</v>
      </c>
      <c r="R5" s="94">
        <f t="shared" ref="R5:R36" si="7">(C5*(H5-I5))/((B5-C5)^2)</f>
        <v>1.3025581161835608E-13</v>
      </c>
      <c r="S5" s="91">
        <v>-1</v>
      </c>
      <c r="T5" s="93">
        <f>FieldFox!AD5</f>
        <v>5.5</v>
      </c>
      <c r="U5" s="93">
        <f>FieldFox!AC5+DashBoard!B37+Calibration!AB2</f>
        <v>4.4501441460289675</v>
      </c>
      <c r="V5" s="93">
        <f>FieldFox!AE5</f>
        <v>1.0498558539710321</v>
      </c>
      <c r="W5" s="94">
        <f t="shared" ref="W5:W36" si="8">Jitter1H1s/SQRT(BW*T5)</f>
        <v>1.8054045564434553E-4</v>
      </c>
      <c r="X5" s="94">
        <f t="shared" ref="X5:X36" si="9">Jitter1H1s/SQRT(BW*U5)</f>
        <v>2.0070992083817679E-4</v>
      </c>
      <c r="Y5" s="94">
        <f t="shared" ref="Y5:Y36" si="10">Jitter1H1s/SQRT(BW*V5)</f>
        <v>4.1322923746319552E-4</v>
      </c>
      <c r="Z5" s="91">
        <f>IF(UsePreamp,Preamp!AF6,FieldFox!D5)</f>
        <v>0.17782794100389224</v>
      </c>
      <c r="AA5" s="91">
        <f t="shared" ref="AA5:AA36" si="11">IF(UsePreamp,PreampGamConf,MagLimited)</f>
        <v>0.40853898265363492</v>
      </c>
      <c r="AB5" s="91">
        <f>'User Cal. Noise Std'!AC6</f>
        <v>0.22</v>
      </c>
      <c r="AC5" s="91">
        <f>'User Cal. Noise Std'!AD6</f>
        <v>0.12</v>
      </c>
      <c r="AD5" s="91">
        <f>IF(UsePreamp,Preamp!AH6,0)</f>
        <v>0</v>
      </c>
      <c r="AE5" s="91">
        <f>DUT!AG6</f>
        <v>0.31622776601683794</v>
      </c>
      <c r="AF5" s="94">
        <f t="shared" ref="AF5:AF36" si="12">O5*2*SQRT(2)*Z5*AA5*AB5*NseSrcConf</f>
        <v>3.1549511429954635E-10</v>
      </c>
      <c r="AG5" s="94">
        <f t="shared" ref="AG5:AG36" si="13">N5*2*SQRT(2)*AD5*AA5*AB5*NseSrcConf</f>
        <v>0</v>
      </c>
      <c r="AH5" s="91">
        <f>SQRT(AF5^2+AG5^2)</f>
        <v>3.1549511429954635E-10</v>
      </c>
      <c r="AI5" s="94">
        <f t="shared" ref="AI5:AI36" si="14">N5*2*SQRT(2)*AD5*AA5*AC5*NseSrcConf</f>
        <v>0</v>
      </c>
      <c r="AJ5" s="94">
        <f t="shared" ref="AJ5:AJ36" si="15">N5*2*SQRT(2)*AD5*AA5*AE5*DUTgamConf</f>
        <v>0</v>
      </c>
      <c r="AK5" s="91">
        <f>SQRT(AI5^2+AJ5^2)</f>
        <v>0</v>
      </c>
      <c r="AL5" s="94">
        <f t="shared" ref="AL5:AL36" si="16">W5*I5*P5</f>
        <v>4.8214399737981018E-13</v>
      </c>
      <c r="AM5" s="94">
        <f>AK5*P5</f>
        <v>0</v>
      </c>
      <c r="AN5" s="91">
        <f>SQRT(AL5^2+AM5^2)</f>
        <v>4.8214399737981018E-13</v>
      </c>
      <c r="AO5" s="94">
        <f t="shared" ref="AO5:AO36" si="17">X5*H5*Q5</f>
        <v>1.5247500896759822E-13</v>
      </c>
      <c r="AP5" s="94">
        <f>AH5*Q5</f>
        <v>2.0344811125664196E-11</v>
      </c>
      <c r="AQ5" s="94">
        <f>SQRT(AO5^2+AP5^2)</f>
        <v>2.0345382482698852E-11</v>
      </c>
      <c r="AR5" s="94">
        <f t="shared" ref="AR5:AR36" si="18">ABS(Y5*J5*S5)</f>
        <v>7.4058764978875987E-14</v>
      </c>
      <c r="AS5" s="94">
        <f>B5*(10^('User Cal. Noise Std'!AB6/(ENRconf*10))-1)*R5</f>
        <v>7.3697978300299786E-12</v>
      </c>
      <c r="AT5" s="91">
        <f>SQRT((AN5)^2+(AQ5)^2+(AS5)^2+(AR5)^2)</f>
        <v>2.1644547949950433E-11</v>
      </c>
      <c r="AU5" s="93">
        <f>NseMeas!H5</f>
        <v>438.4470651377784</v>
      </c>
      <c r="AV5" s="93">
        <f>nSD*NseMeas!X5*AT5</f>
        <v>0.21430999710621371</v>
      </c>
      <c r="AW5" s="93">
        <f>10*LOG10(($AU5+290+AV5)/($AU5+290))</f>
        <v>1.2775116423540173E-3</v>
      </c>
      <c r="AX5" s="93">
        <f>nSD*NseMeas!X5*AL5</f>
        <v>4.773870949958188E-3</v>
      </c>
      <c r="AY5" s="93">
        <f>10*LOG10(($AU5+290+AX5)/($AU5+290))</f>
        <v>2.8461354524913096E-5</v>
      </c>
      <c r="AZ5" s="93">
        <f>nSD*NseMeas!X5*AM5</f>
        <v>0</v>
      </c>
      <c r="BA5" s="93">
        <f>10*LOG10(($AU5+290+AZ5)/($AU5+290))</f>
        <v>0</v>
      </c>
      <c r="BB5" s="93">
        <f>nSD*NseMeas!X5*AO5</f>
        <v>1.5097066848508941E-3</v>
      </c>
      <c r="BC5" s="93">
        <f>10*LOG10(($AU5+290+BB5)/($AU5+290))</f>
        <v>9.0007446592986032E-6</v>
      </c>
      <c r="BD5" s="93">
        <f>nSD*NseMeas!X5*AP5</f>
        <v>0.20144086277752651</v>
      </c>
      <c r="BE5" s="93">
        <f>10*LOG10(($AU5+290+BD5)/($AU5+290))</f>
        <v>1.2008087516612526E-3</v>
      </c>
      <c r="BF5" s="93">
        <f>nSD*NseMeas!X5*AR5</f>
        <v>7.3328090496567846E-4</v>
      </c>
      <c r="BG5" s="93">
        <f>10*LOG10(($AU5+290+BF5)/($AU5+290))</f>
        <v>4.3717615957370109E-6</v>
      </c>
      <c r="BH5" s="91">
        <f>SQRT(AX5^2+BB5^2+BF5^2)</f>
        <v>5.0603121451868417E-3</v>
      </c>
      <c r="BI5" s="93">
        <f>10*LOG10(($AU5+290+BH5)/($AU5+290))</f>
        <v>3.0169083153317011E-5</v>
      </c>
    </row>
    <row r="6" spans="1:61">
      <c r="A6" s="91">
        <f t="shared" ref="A6:A37" si="19">MIN(StopFreqGHz+0.000001,A5+FreqStep)</f>
        <v>0.628</v>
      </c>
      <c r="B6" s="92">
        <f>T_0*(1+10^('User Cal. Noise Std'!AA7/10))</f>
        <v>4886.1902581372296</v>
      </c>
      <c r="C6" s="92">
        <f t="shared" si="0"/>
        <v>296</v>
      </c>
      <c r="D6" s="93">
        <f t="shared" si="1"/>
        <v>296</v>
      </c>
      <c r="E6" s="92">
        <f>IF(UsePreamp,T_0*(10^(Preamp!AE7/10)-1),0)</f>
        <v>864.51079460514211</v>
      </c>
      <c r="F6" s="92">
        <f>T_0*(10^((FieldFox!B6-kT0dB)/10)-1)</f>
        <v>3340.2131944609264</v>
      </c>
      <c r="G6" s="93">
        <f>IF(UsePreamp,10^(Preamp!AD7/10),1)</f>
        <v>42.298795442867842</v>
      </c>
      <c r="H6" s="94">
        <f t="shared" si="2"/>
        <v>1.2153683399106793E-8</v>
      </c>
      <c r="I6" s="94">
        <f t="shared" ref="I6:I36" si="20">((C6+E6)*G6+F6)*k_mw*$F$2</f>
        <v>2.5840616503543385E-9</v>
      </c>
      <c r="J6" s="94">
        <f t="shared" ref="J6:J36" si="21">MIN(I6,(D6+F6)*k_mw*$F$2)</f>
        <v>1.7921956692493733E-10</v>
      </c>
      <c r="K6" s="95">
        <f t="shared" si="3"/>
        <v>864.51079460514222</v>
      </c>
      <c r="L6" s="93">
        <f t="shared" si="4"/>
        <v>42.298795442867835</v>
      </c>
      <c r="M6" s="94">
        <f t="shared" ref="M6:M36" si="22">((B6*I6-C6*H6)/(B6-C6))-(J6-C6*k_mw*$F$2)</f>
        <v>1.8023308047893341E-9</v>
      </c>
      <c r="N6" s="94">
        <f t="shared" ref="N6:N36" si="23">E6*G6*k_mw*BW</f>
        <v>1.8023308047893339E-9</v>
      </c>
      <c r="O6" s="94">
        <f t="shared" ref="O6:O36" si="24">B6*G6*k_mw*BW</f>
        <v>1.018672210371252E-8</v>
      </c>
      <c r="P6" s="91">
        <f t="shared" si="5"/>
        <v>1.0644853444746147</v>
      </c>
      <c r="Q6" s="94">
        <f t="shared" si="6"/>
        <v>6.4485344474614736E-2</v>
      </c>
      <c r="R6" s="94">
        <f t="shared" si="7"/>
        <v>1.344389492061046E-13</v>
      </c>
      <c r="S6" s="91">
        <v>-1</v>
      </c>
      <c r="T6" s="93">
        <f>FieldFox!AD6</f>
        <v>5.5</v>
      </c>
      <c r="U6" s="93">
        <f>FieldFox!AC6</f>
        <v>4.4763710521121558</v>
      </c>
      <c r="V6" s="93">
        <f>FieldFox!AE6</f>
        <v>1.0236289478878442</v>
      </c>
      <c r="W6" s="94">
        <f t="shared" si="8"/>
        <v>1.8054045564434553E-4</v>
      </c>
      <c r="X6" s="94">
        <f t="shared" si="9"/>
        <v>2.0012108076519685E-4</v>
      </c>
      <c r="Y6" s="94">
        <f t="shared" si="10"/>
        <v>4.1848953225587932E-4</v>
      </c>
      <c r="Z6" s="91">
        <f>IF(UsePreamp,Preamp!AF7,FieldFox!D6)</f>
        <v>0.17782794100389224</v>
      </c>
      <c r="AA6" s="91">
        <f t="shared" si="11"/>
        <v>0.40853898265363492</v>
      </c>
      <c r="AB6" s="91">
        <f>'User Cal. Noise Std'!AC7</f>
        <v>0.22</v>
      </c>
      <c r="AC6" s="91">
        <f>'User Cal. Noise Std'!AD7</f>
        <v>0.12</v>
      </c>
      <c r="AD6" s="91">
        <f>IF(UsePreamp,Preamp!AH7,0)</f>
        <v>0</v>
      </c>
      <c r="AE6" s="91">
        <f>DUT!AG7</f>
        <v>0.31622776601683794</v>
      </c>
      <c r="AF6" s="94">
        <f t="shared" si="12"/>
        <v>3.2562717255460737E-10</v>
      </c>
      <c r="AG6" s="94">
        <f t="shared" si="13"/>
        <v>0</v>
      </c>
      <c r="AH6" s="91">
        <f t="shared" ref="AH6:AH69" si="25">SQRT(AF6^2+AG6^2)</f>
        <v>3.2562717255460737E-10</v>
      </c>
      <c r="AI6" s="94">
        <f t="shared" si="14"/>
        <v>0</v>
      </c>
      <c r="AJ6" s="94">
        <f t="shared" si="15"/>
        <v>0</v>
      </c>
      <c r="AK6" s="91">
        <f t="shared" ref="AK6:AK69" si="26">SQRT(AI6^2+AJ6^2)</f>
        <v>0</v>
      </c>
      <c r="AL6" s="94">
        <f t="shared" si="16"/>
        <v>4.9661186513101324E-13</v>
      </c>
      <c r="AM6" s="94">
        <f t="shared" ref="AM6:AM69" si="27">AK6*P6</f>
        <v>0</v>
      </c>
      <c r="AN6" s="91">
        <f t="shared" ref="AN6:AN69" si="28">SQRT(AL6^2+AM6^2)</f>
        <v>4.9661186513101324E-13</v>
      </c>
      <c r="AO6" s="94">
        <f t="shared" si="17"/>
        <v>1.5684178729356546E-13</v>
      </c>
      <c r="AP6" s="94">
        <f t="shared" ref="AP6:AP69" si="29">AH6*Q6</f>
        <v>2.0998180392478671E-11</v>
      </c>
      <c r="AQ6" s="94">
        <f t="shared" ref="AQ6:AQ69" si="30">SQRT(AO6^2+AP6^2)</f>
        <v>2.0998766133783126E-11</v>
      </c>
      <c r="AR6" s="94">
        <f t="shared" si="18"/>
        <v>7.5001512733518288E-14</v>
      </c>
      <c r="AS6" s="94">
        <f>B6*(10^('User Cal. Noise Std'!AB7/(ENRconf*10))-1)*R6</f>
        <v>7.606477314299236E-12</v>
      </c>
      <c r="AT6" s="91">
        <f t="shared" ref="AT6:AT69" si="31">SQRT((AN6)^2+(AQ6)^2+(AS6)^2+(AR6)^2)</f>
        <v>2.2339626783940846E-11</v>
      </c>
      <c r="AU6" s="93">
        <f>NseMeas!H6</f>
        <v>438.4470651377784</v>
      </c>
      <c r="AV6" s="93">
        <f>nSD*NseMeas!X6*AT6</f>
        <v>0.21430969776299647</v>
      </c>
      <c r="AW6" s="93">
        <f t="shared" ref="AW6:AW69" si="32">10*LOG10(($AU6+290+AV6)/($AU6+290))</f>
        <v>1.2775098582183202E-3</v>
      </c>
      <c r="AX6" s="93">
        <f>nSD*NseMeas!X6*AL6</f>
        <v>4.7641234005866744E-3</v>
      </c>
      <c r="AY6" s="93">
        <f t="shared" ref="AY6:AY69" si="33">10*LOG10(($AU6+290+AX6)/($AU6+290))</f>
        <v>2.8403240773289234E-5</v>
      </c>
      <c r="AZ6" s="93">
        <f>nSD*NseMeas!X6*AM6</f>
        <v>0</v>
      </c>
      <c r="BA6" s="93">
        <f t="shared" ref="BA6:BA69" si="34">10*LOG10(($AU6+290+AZ6)/($AU6+290))</f>
        <v>0</v>
      </c>
      <c r="BB6" s="93">
        <f>nSD*NseMeas!X6*AO6</f>
        <v>1.5046229892996766E-3</v>
      </c>
      <c r="BC6" s="93">
        <f t="shared" ref="BC6:BC69" si="35">10*LOG10(($AU6+290+BB6)/($AU6+290))</f>
        <v>8.9704361238142176E-6</v>
      </c>
      <c r="BD6" s="93">
        <f>nSD*NseMeas!X6*AP6</f>
        <v>0.20144086277752646</v>
      </c>
      <c r="BE6" s="93">
        <f t="shared" ref="BE6:BE69" si="36">10*LOG10(($AU6+290+BD6)/($AU6+290))</f>
        <v>1.2008087516612526E-3</v>
      </c>
      <c r="BF6" s="93">
        <f>nSD*NseMeas!X6*AR6</f>
        <v>7.1950850751197569E-4</v>
      </c>
      <c r="BG6" s="93">
        <f t="shared" ref="BG6:BG69" si="37">10*LOG10(($AU6+290+BF6)/($AU6+290))</f>
        <v>4.2896517136262109E-6</v>
      </c>
      <c r="BH6" s="91">
        <f t="shared" ref="BH6:BH69" si="38">SQRT(AX6^2+BB6^2+BF6^2)</f>
        <v>5.0476187067100007E-3</v>
      </c>
      <c r="BI6" s="93">
        <f t="shared" ref="BI6:BI69" si="39">10*LOG10(($AU6+290+BH6)/($AU6+290))</f>
        <v>3.0093406384172622E-5</v>
      </c>
    </row>
    <row r="7" spans="1:61">
      <c r="A7" s="91">
        <f t="shared" si="19"/>
        <v>1.1560000000000001</v>
      </c>
      <c r="B7" s="92">
        <f>T_0*(1+10^('User Cal. Noise Std'!AA8/10))</f>
        <v>4886.1902581372296</v>
      </c>
      <c r="C7" s="92">
        <f t="shared" si="0"/>
        <v>296</v>
      </c>
      <c r="D7" s="93">
        <f t="shared" si="1"/>
        <v>296</v>
      </c>
      <c r="E7" s="92">
        <f>IF(UsePreamp,T_0*(10^(Preamp!AE8/10)-1),0)</f>
        <v>864.51079460514211</v>
      </c>
      <c r="F7" s="92">
        <f>T_0*(10^((FieldFox!B7-kT0dB)/10)-1)</f>
        <v>3340.2131944609264</v>
      </c>
      <c r="G7" s="93">
        <f>IF(UsePreamp,10^(Preamp!AD8/10),1)</f>
        <v>43.657212230074023</v>
      </c>
      <c r="H7" s="94">
        <f t="shared" si="2"/>
        <v>1.2538709274266983E-8</v>
      </c>
      <c r="I7" s="94">
        <f t="shared" si="20"/>
        <v>2.6617611656356298E-9</v>
      </c>
      <c r="J7" s="94">
        <f t="shared" si="21"/>
        <v>1.7921956692493733E-10</v>
      </c>
      <c r="K7" s="95">
        <f t="shared" si="3"/>
        <v>864.51079460514245</v>
      </c>
      <c r="L7" s="93">
        <f t="shared" si="4"/>
        <v>43.657212230074023</v>
      </c>
      <c r="M7" s="94">
        <f t="shared" si="22"/>
        <v>1.8602122738877052E-9</v>
      </c>
      <c r="N7" s="94">
        <f t="shared" si="23"/>
        <v>1.8602122738877047E-9</v>
      </c>
      <c r="O7" s="94">
        <f t="shared" si="24"/>
        <v>1.051386650977434E-8</v>
      </c>
      <c r="P7" s="91">
        <f t="shared" si="5"/>
        <v>1.0644853444746147</v>
      </c>
      <c r="Q7" s="94">
        <f t="shared" si="6"/>
        <v>6.4485344474614736E-2</v>
      </c>
      <c r="R7" s="94">
        <f t="shared" si="7"/>
        <v>1.3875642736461621E-13</v>
      </c>
      <c r="S7" s="91">
        <v>-1</v>
      </c>
      <c r="T7" s="93">
        <f>FieldFox!AD7</f>
        <v>5.5</v>
      </c>
      <c r="U7" s="93">
        <f>FieldFox!AC7</f>
        <v>4.5021005996188856</v>
      </c>
      <c r="V7" s="93">
        <f>FieldFox!AE7</f>
        <v>0.99789940038111402</v>
      </c>
      <c r="W7" s="94">
        <f t="shared" si="8"/>
        <v>1.8054045564434553E-4</v>
      </c>
      <c r="X7" s="94">
        <f t="shared" si="9"/>
        <v>1.9954841445986603E-4</v>
      </c>
      <c r="Y7" s="94">
        <f t="shared" si="10"/>
        <v>4.2385030313937978E-4</v>
      </c>
      <c r="Z7" s="91">
        <f>IF(UsePreamp,Preamp!AF8,FieldFox!D7)</f>
        <v>0.17782794100389224</v>
      </c>
      <c r="AA7" s="91">
        <f t="shared" si="11"/>
        <v>0.40853898265363492</v>
      </c>
      <c r="AB7" s="91">
        <f>'User Cal. Noise Std'!AC8</f>
        <v>0.22</v>
      </c>
      <c r="AC7" s="91">
        <f>'User Cal. Noise Std'!AD8</f>
        <v>0.12</v>
      </c>
      <c r="AD7" s="91">
        <f>IF(UsePreamp,Preamp!AH8,0)</f>
        <v>0</v>
      </c>
      <c r="AE7" s="91">
        <f>DUT!AG8</f>
        <v>0.31622776601683794</v>
      </c>
      <c r="AF7" s="94">
        <f t="shared" si="12"/>
        <v>3.3608461969789823E-10</v>
      </c>
      <c r="AG7" s="94">
        <f t="shared" si="13"/>
        <v>0</v>
      </c>
      <c r="AH7" s="91">
        <f t="shared" si="25"/>
        <v>3.3608461969789823E-10</v>
      </c>
      <c r="AI7" s="94">
        <f t="shared" si="14"/>
        <v>0</v>
      </c>
      <c r="AJ7" s="94">
        <f t="shared" si="15"/>
        <v>0</v>
      </c>
      <c r="AK7" s="91">
        <f t="shared" si="26"/>
        <v>0</v>
      </c>
      <c r="AL7" s="94">
        <f t="shared" si="16"/>
        <v>5.1154436536696009E-13</v>
      </c>
      <c r="AM7" s="94">
        <f t="shared" si="27"/>
        <v>0</v>
      </c>
      <c r="AN7" s="91">
        <f t="shared" si="28"/>
        <v>5.1154436536696009E-13</v>
      </c>
      <c r="AO7" s="94">
        <f t="shared" si="17"/>
        <v>1.6134746201049597E-13</v>
      </c>
      <c r="AP7" s="94">
        <f t="shared" si="29"/>
        <v>2.1672532473838855E-11</v>
      </c>
      <c r="AQ7" s="94">
        <f t="shared" si="30"/>
        <v>2.1673133064536305E-11</v>
      </c>
      <c r="AR7" s="94">
        <f t="shared" si="18"/>
        <v>7.5962267769643056E-14</v>
      </c>
      <c r="AS7" s="94">
        <f>B7*(10^('User Cal. Noise Std'!AB8/(ENRconf*10))-1)*R7</f>
        <v>7.8507577096878782E-12</v>
      </c>
      <c r="AT7" s="91">
        <f t="shared" si="31"/>
        <v>2.3057028025163693E-11</v>
      </c>
      <c r="AU7" s="93">
        <f>NseMeas!H7</f>
        <v>438.4470651377784</v>
      </c>
      <c r="AV7" s="93">
        <f>nSD*NseMeas!X7*AT7</f>
        <v>0.21430940865268799</v>
      </c>
      <c r="AW7" s="93">
        <f t="shared" si="32"/>
        <v>1.2775081350718922E-3</v>
      </c>
      <c r="AX7" s="93">
        <f>nSD*NseMeas!X7*AL7</f>
        <v>4.7546791512662646E-3</v>
      </c>
      <c r="AY7" s="93">
        <f t="shared" si="33"/>
        <v>2.8346935260019769E-5</v>
      </c>
      <c r="AZ7" s="93">
        <f>nSD*NseMeas!X7*AM7</f>
        <v>0</v>
      </c>
      <c r="BA7" s="93">
        <f t="shared" si="34"/>
        <v>0</v>
      </c>
      <c r="BB7" s="93">
        <f>nSD*NseMeas!X7*AO7</f>
        <v>1.4996850042140652E-3</v>
      </c>
      <c r="BC7" s="93">
        <f t="shared" si="35"/>
        <v>8.940996300728191E-6</v>
      </c>
      <c r="BD7" s="93">
        <f>nSD*NseMeas!X7*AP7</f>
        <v>0.20144086277752649</v>
      </c>
      <c r="BE7" s="93">
        <f t="shared" si="36"/>
        <v>1.2008087516612526E-3</v>
      </c>
      <c r="BF7" s="93">
        <f>nSD*NseMeas!X7*AR7</f>
        <v>7.0605060929199127E-4</v>
      </c>
      <c r="BG7" s="93">
        <f t="shared" si="37"/>
        <v>4.2094168491141058E-6</v>
      </c>
      <c r="BH7" s="91">
        <f t="shared" si="38"/>
        <v>5.0353288280143354E-3</v>
      </c>
      <c r="BI7" s="93">
        <f t="shared" si="39"/>
        <v>3.0020135589286523E-5</v>
      </c>
    </row>
    <row r="8" spans="1:61">
      <c r="A8" s="91">
        <f t="shared" si="19"/>
        <v>1.6840000000000002</v>
      </c>
      <c r="B8" s="92">
        <f>T_0*(1+10^('User Cal. Noise Std'!AA9/10))</f>
        <v>4886.1902581372296</v>
      </c>
      <c r="C8" s="92">
        <f t="shared" si="0"/>
        <v>296</v>
      </c>
      <c r="D8" s="93">
        <f t="shared" si="1"/>
        <v>296</v>
      </c>
      <c r="E8" s="92">
        <f>IF(UsePreamp,T_0*(10^(Preamp!AE9/10)-1),0)</f>
        <v>864.51079460514211</v>
      </c>
      <c r="F8" s="92">
        <f>T_0*(10^((FieldFox!B8-kT0dB)/10)-1)</f>
        <v>3340.2131944609264</v>
      </c>
      <c r="G8" s="93">
        <f>IF(UsePreamp,10^(Preamp!AD9/10),1)</f>
        <v>45.059254282454894</v>
      </c>
      <c r="H8" s="94">
        <f t="shared" si="2"/>
        <v>1.293610017322633E-8</v>
      </c>
      <c r="I8" s="94">
        <f t="shared" si="20"/>
        <v>2.741955984265654E-9</v>
      </c>
      <c r="J8" s="94">
        <f t="shared" si="21"/>
        <v>1.7921956692493733E-10</v>
      </c>
      <c r="K8" s="95">
        <f t="shared" si="3"/>
        <v>864.51079460514211</v>
      </c>
      <c r="L8" s="93">
        <f t="shared" si="4"/>
        <v>45.059254282454901</v>
      </c>
      <c r="M8" s="94">
        <f t="shared" si="22"/>
        <v>1.9199525940116952E-9</v>
      </c>
      <c r="N8" s="94">
        <f t="shared" si="23"/>
        <v>1.9199525940116952E-9</v>
      </c>
      <c r="O8" s="94">
        <f t="shared" si="24"/>
        <v>1.0851517088609697E-8</v>
      </c>
      <c r="P8" s="91">
        <f t="shared" si="5"/>
        <v>1.0644853444746147</v>
      </c>
      <c r="Q8" s="94">
        <f t="shared" si="6"/>
        <v>6.4485344474614736E-2</v>
      </c>
      <c r="R8" s="94">
        <f t="shared" si="7"/>
        <v>1.4321256041264693E-13</v>
      </c>
      <c r="S8" s="91">
        <v>-1</v>
      </c>
      <c r="T8" s="93">
        <f>FieldFox!AD8</f>
        <v>5.5</v>
      </c>
      <c r="U8" s="93">
        <f>FieldFox!AC8</f>
        <v>4.5273343140808446</v>
      </c>
      <c r="V8" s="93">
        <f>FieldFox!AE8</f>
        <v>0.97266568591915559</v>
      </c>
      <c r="W8" s="94">
        <f t="shared" si="8"/>
        <v>1.8054045564434553E-4</v>
      </c>
      <c r="X8" s="94">
        <f t="shared" si="9"/>
        <v>1.9899153227681776E-4</v>
      </c>
      <c r="Y8" s="94">
        <f t="shared" si="10"/>
        <v>4.2931304146473417E-4</v>
      </c>
      <c r="Z8" s="91">
        <f>IF(UsePreamp,Preamp!AF9,FieldFox!D8)</f>
        <v>0.17782794100389224</v>
      </c>
      <c r="AA8" s="91">
        <f t="shared" si="11"/>
        <v>0.40853898265363492</v>
      </c>
      <c r="AB8" s="91">
        <f>'User Cal. Noise Std'!AC9</f>
        <v>0.22</v>
      </c>
      <c r="AC8" s="91">
        <f>'User Cal. Noise Std'!AD9</f>
        <v>0.12</v>
      </c>
      <c r="AD8" s="91">
        <f>IF(UsePreamp,Preamp!AH9,0)</f>
        <v>0</v>
      </c>
      <c r="AE8" s="91">
        <f>DUT!AG9</f>
        <v>0.31622776601683794</v>
      </c>
      <c r="AF8" s="94">
        <f t="shared" si="12"/>
        <v>3.4687790552411246E-10</v>
      </c>
      <c r="AG8" s="94">
        <f t="shared" si="13"/>
        <v>0</v>
      </c>
      <c r="AH8" s="91">
        <f t="shared" si="25"/>
        <v>3.4687790552411246E-10</v>
      </c>
      <c r="AI8" s="94">
        <f t="shared" si="14"/>
        <v>0</v>
      </c>
      <c r="AJ8" s="94">
        <f t="shared" si="15"/>
        <v>0</v>
      </c>
      <c r="AK8" s="91">
        <f t="shared" si="26"/>
        <v>0</v>
      </c>
      <c r="AL8" s="94">
        <f t="shared" si="16"/>
        <v>5.2695641966072612E-13</v>
      </c>
      <c r="AM8" s="94">
        <f t="shared" si="27"/>
        <v>0</v>
      </c>
      <c r="AN8" s="91">
        <f t="shared" si="28"/>
        <v>5.2695641966072612E-13</v>
      </c>
      <c r="AO8" s="94">
        <f t="shared" si="17"/>
        <v>1.6599652260941381E-13</v>
      </c>
      <c r="AP8" s="94">
        <f t="shared" si="29"/>
        <v>2.2368541228355258E-11</v>
      </c>
      <c r="AQ8" s="94">
        <f t="shared" si="30"/>
        <v>2.2369157148407434E-11</v>
      </c>
      <c r="AR8" s="94">
        <f t="shared" si="18"/>
        <v>7.6941297366537326E-14</v>
      </c>
      <c r="AS8" s="94">
        <f>B8*(10^('User Cal. Noise Std'!AB9/(ENRconf*10))-1)*R8</f>
        <v>8.1028831178341482E-12</v>
      </c>
      <c r="AT8" s="91">
        <f t="shared" si="31"/>
        <v>2.3797468549887635E-11</v>
      </c>
      <c r="AU8" s="93">
        <f>NseMeas!H8</f>
        <v>438.4470651377784</v>
      </c>
      <c r="AV8" s="93">
        <f>nSD*NseMeas!X8*AT8</f>
        <v>0.21430912940060776</v>
      </c>
      <c r="AW8" s="93">
        <f t="shared" si="32"/>
        <v>1.277506470682008E-3</v>
      </c>
      <c r="AX8" s="93">
        <f>nSD*NseMeas!X8*AL8</f>
        <v>4.7455287646586573E-3</v>
      </c>
      <c r="AY8" s="93">
        <f t="shared" si="33"/>
        <v>2.8292381721855523E-5</v>
      </c>
      <c r="AZ8" s="93">
        <f>nSD*NseMeas!X8*AM8</f>
        <v>0</v>
      </c>
      <c r="BA8" s="93">
        <f t="shared" si="34"/>
        <v>0</v>
      </c>
      <c r="BB8" s="93">
        <f>nSD*NseMeas!X8*AO8</f>
        <v>1.4948888437177807E-3</v>
      </c>
      <c r="BC8" s="93">
        <f t="shared" si="35"/>
        <v>8.9124020231026746E-6</v>
      </c>
      <c r="BD8" s="93">
        <f>nSD*NseMeas!X8*AP8</f>
        <v>0.20144086277752646</v>
      </c>
      <c r="BE8" s="93">
        <f t="shared" si="36"/>
        <v>1.2008087516612526E-3</v>
      </c>
      <c r="BF8" s="93">
        <f>nSD*NseMeas!X8*AR8</f>
        <v>6.928981718794517E-4</v>
      </c>
      <c r="BG8" s="93">
        <f t="shared" si="37"/>
        <v>4.131003113808391E-6</v>
      </c>
      <c r="BH8" s="91">
        <f t="shared" si="38"/>
        <v>5.0234294847114648E-3</v>
      </c>
      <c r="BI8" s="93">
        <f t="shared" si="39"/>
        <v>2.9949193118775387E-5</v>
      </c>
    </row>
    <row r="9" spans="1:61">
      <c r="A9" s="91">
        <f t="shared" si="19"/>
        <v>2.2120000000000002</v>
      </c>
      <c r="B9" s="92">
        <f>T_0*(1+10^('User Cal. Noise Std'!AA10/10))</f>
        <v>4886.1902581372296</v>
      </c>
      <c r="C9" s="92">
        <f t="shared" si="0"/>
        <v>296</v>
      </c>
      <c r="D9" s="93">
        <f t="shared" si="1"/>
        <v>296</v>
      </c>
      <c r="E9" s="92">
        <f>IF(UsePreamp,T_0*(10^(Preamp!AE10/10)-1),0)</f>
        <v>864.51079460514211</v>
      </c>
      <c r="F9" s="92">
        <f>T_0*(10^((FieldFox!B9-kT0dB)/10)-1)</f>
        <v>6953.2275822106776</v>
      </c>
      <c r="G9" s="93">
        <f>IF(UsePreamp,10^(Preamp!AD10/10),1)</f>
        <v>46.506322616089861</v>
      </c>
      <c r="H9" s="94">
        <f t="shared" si="2"/>
        <v>1.3524329353679932E-8</v>
      </c>
      <c r="I9" s="94">
        <f t="shared" si="20"/>
        <v>3.0028023999739057E-9</v>
      </c>
      <c r="J9" s="94">
        <f t="shared" si="21"/>
        <v>3.5729572452000216E-10</v>
      </c>
      <c r="K9" s="95">
        <f t="shared" si="3"/>
        <v>864.51079460514222</v>
      </c>
      <c r="L9" s="93">
        <f t="shared" si="4"/>
        <v>46.506322616089854</v>
      </c>
      <c r="M9" s="94">
        <f t="shared" si="22"/>
        <v>1.9816114617652266E-9</v>
      </c>
      <c r="N9" s="94">
        <f t="shared" si="23"/>
        <v>1.981611461765227E-9</v>
      </c>
      <c r="O9" s="94">
        <f t="shared" si="24"/>
        <v>1.1200011243714705E-8</v>
      </c>
      <c r="P9" s="91">
        <f t="shared" si="5"/>
        <v>1.0644853444746147</v>
      </c>
      <c r="Q9" s="94">
        <f t="shared" si="6"/>
        <v>6.4485344474614736E-2</v>
      </c>
      <c r="R9" s="94">
        <f t="shared" si="7"/>
        <v>1.4781180122237817E-13</v>
      </c>
      <c r="S9" s="91">
        <v>-1</v>
      </c>
      <c r="T9" s="93">
        <f>FieldFox!AD9</f>
        <v>5.5</v>
      </c>
      <c r="U9" s="93">
        <f>FieldFox!AC9</f>
        <v>3.9015782555507461</v>
      </c>
      <c r="V9" s="93">
        <f>FieldFox!AE9</f>
        <v>1.5984217444492539</v>
      </c>
      <c r="W9" s="94">
        <f t="shared" si="8"/>
        <v>1.8054045564434553E-4</v>
      </c>
      <c r="X9" s="94">
        <f t="shared" si="9"/>
        <v>2.143560363172682E-4</v>
      </c>
      <c r="Y9" s="94">
        <f t="shared" si="10"/>
        <v>3.3489617667611216E-4</v>
      </c>
      <c r="Z9" s="91">
        <f>IF(UsePreamp,Preamp!AF10,FieldFox!D9)</f>
        <v>0.17782794100389224</v>
      </c>
      <c r="AA9" s="91">
        <f t="shared" si="11"/>
        <v>0.40853898265363492</v>
      </c>
      <c r="AB9" s="91">
        <f>'User Cal. Noise Std'!AC10</f>
        <v>0.22</v>
      </c>
      <c r="AC9" s="91">
        <f>'User Cal. Noise Std'!AD10</f>
        <v>0.12</v>
      </c>
      <c r="AD9" s="91">
        <f>IF(UsePreamp,Preamp!AH10,0)</f>
        <v>0</v>
      </c>
      <c r="AE9" s="91">
        <f>DUT!AG10</f>
        <v>0.31622776601683794</v>
      </c>
      <c r="AF9" s="94">
        <f t="shared" si="12"/>
        <v>3.5801781542086852E-10</v>
      </c>
      <c r="AG9" s="94">
        <f t="shared" si="13"/>
        <v>0</v>
      </c>
      <c r="AH9" s="91">
        <f t="shared" si="25"/>
        <v>3.5801781542086852E-10</v>
      </c>
      <c r="AI9" s="94">
        <f t="shared" si="14"/>
        <v>0</v>
      </c>
      <c r="AJ9" s="94">
        <f t="shared" si="15"/>
        <v>0</v>
      </c>
      <c r="AK9" s="91">
        <f t="shared" si="26"/>
        <v>0</v>
      </c>
      <c r="AL9" s="94">
        <f t="shared" si="16"/>
        <v>5.7708658006144714E-13</v>
      </c>
      <c r="AM9" s="94">
        <f t="shared" si="27"/>
        <v>0</v>
      </c>
      <c r="AN9" s="91">
        <f t="shared" si="28"/>
        <v>5.7708658006144714E-13</v>
      </c>
      <c r="AO9" s="94">
        <f t="shared" si="17"/>
        <v>1.8694440871456417E-13</v>
      </c>
      <c r="AP9" s="94">
        <f t="shared" si="29"/>
        <v>2.3086902155463743E-11</v>
      </c>
      <c r="AQ9" s="94">
        <f t="shared" si="30"/>
        <v>2.3087659027019306E-11</v>
      </c>
      <c r="AR9" s="94">
        <f t="shared" si="18"/>
        <v>1.1965697208447015E-13</v>
      </c>
      <c r="AS9" s="94">
        <f>B9*(10^('User Cal. Noise Std'!AB10/(ENRconf*10))-1)*R9</f>
        <v>8.36310547964826E-12</v>
      </c>
      <c r="AT9" s="91">
        <f t="shared" si="31"/>
        <v>2.4562753903491446E-11</v>
      </c>
      <c r="AU9" s="93">
        <f>NseMeas!H9</f>
        <v>438.4470651377784</v>
      </c>
      <c r="AV9" s="93">
        <f>nSD*NseMeas!X9*AT9</f>
        <v>0.21431815776723401</v>
      </c>
      <c r="AW9" s="93">
        <f t="shared" si="32"/>
        <v>1.2775602812712878E-3</v>
      </c>
      <c r="AX9" s="93">
        <f>nSD*NseMeas!X9*AL9</f>
        <v>5.0352714193575166E-3</v>
      </c>
      <c r="AY9" s="93">
        <f t="shared" si="33"/>
        <v>3.0019793325797655E-5</v>
      </c>
      <c r="AZ9" s="93">
        <f>nSD*NseMeas!X9*AM9</f>
        <v>0</v>
      </c>
      <c r="BA9" s="93">
        <f t="shared" si="34"/>
        <v>0</v>
      </c>
      <c r="BB9" s="93">
        <f>nSD*NseMeas!X9*AO9</f>
        <v>1.6311518422571973E-3</v>
      </c>
      <c r="BC9" s="93">
        <f t="shared" si="35"/>
        <v>9.7247896937406975E-6</v>
      </c>
      <c r="BD9" s="93">
        <f>nSD*NseMeas!X9*AP9</f>
        <v>0.20144086277752649</v>
      </c>
      <c r="BE9" s="93">
        <f t="shared" si="36"/>
        <v>1.2008087516612526E-3</v>
      </c>
      <c r="BF9" s="93">
        <f>nSD*NseMeas!X9*AR9</f>
        <v>1.0440466863735403E-3</v>
      </c>
      <c r="BG9" s="93">
        <f t="shared" si="37"/>
        <v>6.2245207856760693E-6</v>
      </c>
      <c r="BH9" s="91">
        <f t="shared" si="38"/>
        <v>5.3948723879648237E-3</v>
      </c>
      <c r="BI9" s="93">
        <f t="shared" si="39"/>
        <v>3.2163691019013742E-5</v>
      </c>
    </row>
    <row r="10" spans="1:61">
      <c r="A10" s="91">
        <f t="shared" si="19"/>
        <v>2.74</v>
      </c>
      <c r="B10" s="92">
        <f>T_0*(1+10^('User Cal. Noise Std'!AA11/10))</f>
        <v>4886.1902581372296</v>
      </c>
      <c r="C10" s="92">
        <f t="shared" si="0"/>
        <v>296</v>
      </c>
      <c r="D10" s="93">
        <f t="shared" si="1"/>
        <v>296</v>
      </c>
      <c r="E10" s="92">
        <f>IF(UsePreamp,T_0*(10^(Preamp!AE11/10)-1),0)</f>
        <v>864.51079460514211</v>
      </c>
      <c r="F10" s="92">
        <f>T_0*(10^((FieldFox!B10-kT0dB)/10)-1)</f>
        <v>4280.1676407373407</v>
      </c>
      <c r="G10" s="93">
        <f>IF(UsePreamp,10^(Preamp!AD11/10),1)</f>
        <v>47.99986324039093</v>
      </c>
      <c r="H10" s="94">
        <f t="shared" si="2"/>
        <v>1.3815906125302149E-8</v>
      </c>
      <c r="I10" s="94">
        <f t="shared" si="20"/>
        <v>2.9564825792389806E-9</v>
      </c>
      <c r="J10" s="94">
        <f t="shared" si="21"/>
        <v>2.2554749649943039E-10</v>
      </c>
      <c r="K10" s="95">
        <f t="shared" si="3"/>
        <v>864.51079460514211</v>
      </c>
      <c r="L10" s="93">
        <f t="shared" si="4"/>
        <v>47.999863240390923</v>
      </c>
      <c r="M10" s="94">
        <f t="shared" si="22"/>
        <v>2.0452504908959248E-9</v>
      </c>
      <c r="N10" s="94">
        <f t="shared" si="23"/>
        <v>2.0452504908959243E-9</v>
      </c>
      <c r="O10" s="94">
        <f t="shared" si="24"/>
        <v>1.1559697214226794E-8</v>
      </c>
      <c r="P10" s="91">
        <f t="shared" si="5"/>
        <v>1.0644853444746147</v>
      </c>
      <c r="Q10" s="94">
        <f t="shared" si="6"/>
        <v>6.4485344474614736E-2</v>
      </c>
      <c r="R10" s="94">
        <f t="shared" si="7"/>
        <v>1.5255874566903195E-13</v>
      </c>
      <c r="S10" s="91">
        <v>-1</v>
      </c>
      <c r="T10" s="93">
        <f>FieldFox!AD10</f>
        <v>5.5</v>
      </c>
      <c r="U10" s="93">
        <f>FieldFox!AC10</f>
        <v>4.3888996913256806</v>
      </c>
      <c r="V10" s="93">
        <f>FieldFox!AE10</f>
        <v>1.1111003086743196</v>
      </c>
      <c r="W10" s="94">
        <f t="shared" si="8"/>
        <v>1.8054045564434553E-4</v>
      </c>
      <c r="X10" s="94">
        <f t="shared" si="9"/>
        <v>2.0210546231566221E-4</v>
      </c>
      <c r="Y10" s="94">
        <f t="shared" si="10"/>
        <v>4.0167910880842549E-4</v>
      </c>
      <c r="Z10" s="91">
        <f>IF(UsePreamp,Preamp!AF11,FieldFox!D10)</f>
        <v>0.17782794100389224</v>
      </c>
      <c r="AA10" s="91">
        <f t="shared" si="11"/>
        <v>0.40853898265363492</v>
      </c>
      <c r="AB10" s="91">
        <f>'User Cal. Noise Std'!AC11</f>
        <v>0.22</v>
      </c>
      <c r="AC10" s="91">
        <f>'User Cal. Noise Std'!AD11</f>
        <v>0.12</v>
      </c>
      <c r="AD10" s="91">
        <f>IF(UsePreamp,Preamp!AH11,0)</f>
        <v>0</v>
      </c>
      <c r="AE10" s="91">
        <f>DUT!AG11</f>
        <v>0.31622776601683794</v>
      </c>
      <c r="AF10" s="94">
        <f t="shared" si="12"/>
        <v>3.6951548114620779E-10</v>
      </c>
      <c r="AG10" s="94">
        <f t="shared" si="13"/>
        <v>0</v>
      </c>
      <c r="AH10" s="91">
        <f t="shared" si="25"/>
        <v>3.6951548114620779E-10</v>
      </c>
      <c r="AI10" s="94">
        <f t="shared" si="14"/>
        <v>0</v>
      </c>
      <c r="AJ10" s="94">
        <f t="shared" si="15"/>
        <v>0</v>
      </c>
      <c r="AK10" s="91">
        <f t="shared" si="26"/>
        <v>0</v>
      </c>
      <c r="AL10" s="94">
        <f t="shared" si="16"/>
        <v>5.6818471327953382E-13</v>
      </c>
      <c r="AM10" s="94">
        <f t="shared" si="27"/>
        <v>0</v>
      </c>
      <c r="AN10" s="91">
        <f t="shared" si="28"/>
        <v>5.6818471327953382E-13</v>
      </c>
      <c r="AO10" s="94">
        <f t="shared" si="17"/>
        <v>1.8006049892702038E-13</v>
      </c>
      <c r="AP10" s="94">
        <f t="shared" si="29"/>
        <v>2.3828333090416215E-11</v>
      </c>
      <c r="AQ10" s="94">
        <f t="shared" si="30"/>
        <v>2.3829013400707513E-11</v>
      </c>
      <c r="AR10" s="94">
        <f t="shared" si="18"/>
        <v>9.0597717387862663E-14</v>
      </c>
      <c r="AS10" s="94">
        <f>B10*(10^('User Cal. Noise Std'!AB11/(ENRconf*10))-1)*R10</f>
        <v>8.6316848270690382E-12</v>
      </c>
      <c r="AT10" s="91">
        <f t="shared" si="31"/>
        <v>2.5350718025723701E-11</v>
      </c>
      <c r="AU10" s="93">
        <f>NseMeas!H10</f>
        <v>438.4470651377784</v>
      </c>
      <c r="AV10" s="93">
        <f>nSD*NseMeas!X10*AT10</f>
        <v>0.21431085807615652</v>
      </c>
      <c r="AW10" s="93">
        <f t="shared" si="32"/>
        <v>1.2775167738803426E-3</v>
      </c>
      <c r="AX10" s="93">
        <f>nSD*NseMeas!X10*AL10</f>
        <v>4.8033414014203519E-3</v>
      </c>
      <c r="AY10" s="93">
        <f t="shared" si="33"/>
        <v>2.8637053912431259E-5</v>
      </c>
      <c r="AZ10" s="93">
        <f>nSD*NseMeas!X10*AM10</f>
        <v>0</v>
      </c>
      <c r="BA10" s="93">
        <f t="shared" si="34"/>
        <v>0</v>
      </c>
      <c r="BB10" s="93">
        <f>nSD*NseMeas!X10*AO10</f>
        <v>1.5222022505048546E-3</v>
      </c>
      <c r="BC10" s="93">
        <f t="shared" si="35"/>
        <v>9.0752420961618911E-6</v>
      </c>
      <c r="BD10" s="93">
        <f>nSD*NseMeas!X10*AP10</f>
        <v>0.20144086277752643</v>
      </c>
      <c r="BE10" s="93">
        <f t="shared" si="36"/>
        <v>1.2008087516612526E-3</v>
      </c>
      <c r="BF10" s="93">
        <f>nSD*NseMeas!X10*AR10</f>
        <v>7.6589840703652785E-4</v>
      </c>
      <c r="BG10" s="93">
        <f t="shared" si="37"/>
        <v>4.5662244102153859E-6</v>
      </c>
      <c r="BH10" s="91">
        <f t="shared" si="38"/>
        <v>5.0966448453803378E-3</v>
      </c>
      <c r="BI10" s="93">
        <f t="shared" si="39"/>
        <v>3.0385694380204596E-5</v>
      </c>
    </row>
    <row r="11" spans="1:61">
      <c r="A11" s="91">
        <f t="shared" si="19"/>
        <v>3.2680000000000002</v>
      </c>
      <c r="B11" s="92">
        <f>T_0*(1+10^('User Cal. Noise Std'!AA12/10))</f>
        <v>4886.1902581372296</v>
      </c>
      <c r="C11" s="92">
        <f t="shared" si="0"/>
        <v>296</v>
      </c>
      <c r="D11" s="93">
        <f t="shared" si="1"/>
        <v>296</v>
      </c>
      <c r="E11" s="92">
        <f>IF(UsePreamp,T_0*(10^(Preamp!AE12/10)-1),0)</f>
        <v>864.51079460514211</v>
      </c>
      <c r="F11" s="92">
        <f>T_0*(10^((FieldFox!B11-kT0dB)/10)-1)</f>
        <v>4280.1676407373407</v>
      </c>
      <c r="G11" s="93">
        <f>IF(UsePreamp,10^(Preamp!AD12/10),1)</f>
        <v>49.54136860305352</v>
      </c>
      <c r="H11" s="94">
        <f t="shared" si="2"/>
        <v>1.4252826116952108E-8</v>
      </c>
      <c r="I11" s="94">
        <f t="shared" si="20"/>
        <v>3.0446545015903896E-9</v>
      </c>
      <c r="J11" s="94">
        <f t="shared" si="21"/>
        <v>2.2554749649943039E-10</v>
      </c>
      <c r="K11" s="95">
        <f t="shared" si="3"/>
        <v>864.51079460514211</v>
      </c>
      <c r="L11" s="93">
        <f t="shared" si="4"/>
        <v>49.54136860305352</v>
      </c>
      <c r="M11" s="94">
        <f t="shared" si="22"/>
        <v>2.1109332738637596E-9</v>
      </c>
      <c r="N11" s="94">
        <f t="shared" si="23"/>
        <v>2.11093327386376E-9</v>
      </c>
      <c r="O11" s="94">
        <f t="shared" si="24"/>
        <v>1.1930934422908919E-8</v>
      </c>
      <c r="P11" s="91">
        <f t="shared" si="5"/>
        <v>1.0644853444746147</v>
      </c>
      <c r="Q11" s="94">
        <f t="shared" si="6"/>
        <v>6.4485344474614736E-2</v>
      </c>
      <c r="R11" s="94">
        <f t="shared" si="7"/>
        <v>1.5745813722338122E-13</v>
      </c>
      <c r="S11" s="91">
        <v>-1</v>
      </c>
      <c r="T11" s="93">
        <f>FieldFox!AD11</f>
        <v>5.5</v>
      </c>
      <c r="U11" s="93">
        <f>FieldFox!AC11</f>
        <v>4.4162489181204325</v>
      </c>
      <c r="V11" s="93">
        <f>FieldFox!AE11</f>
        <v>1.0837510818795681</v>
      </c>
      <c r="W11" s="94">
        <f t="shared" si="8"/>
        <v>1.8054045564434553E-4</v>
      </c>
      <c r="X11" s="94">
        <f t="shared" si="9"/>
        <v>2.0147868464968875E-4</v>
      </c>
      <c r="Y11" s="94">
        <f t="shared" si="10"/>
        <v>4.0671585882974656E-4</v>
      </c>
      <c r="Z11" s="91">
        <f>IF(UsePreamp,Preamp!AF12,FieldFox!D11)</f>
        <v>0.17782794100389224</v>
      </c>
      <c r="AA11" s="91">
        <f t="shared" si="11"/>
        <v>0.40853898265363492</v>
      </c>
      <c r="AB11" s="91">
        <f>'User Cal. Noise Std'!AC12</f>
        <v>0.22</v>
      </c>
      <c r="AC11" s="91">
        <f>'User Cal. Noise Std'!AD12</f>
        <v>0.12</v>
      </c>
      <c r="AD11" s="91">
        <f>IF(UsePreamp,Preamp!AH12,0)</f>
        <v>0</v>
      </c>
      <c r="AE11" s="91">
        <f>DUT!AG12</f>
        <v>0.31622776601683794</v>
      </c>
      <c r="AF11" s="94">
        <f t="shared" si="12"/>
        <v>3.8138239195220387E-10</v>
      </c>
      <c r="AG11" s="94">
        <f t="shared" si="13"/>
        <v>0</v>
      </c>
      <c r="AH11" s="91">
        <f t="shared" si="25"/>
        <v>3.8138239195220387E-10</v>
      </c>
      <c r="AI11" s="94">
        <f t="shared" si="14"/>
        <v>0</v>
      </c>
      <c r="AJ11" s="94">
        <f t="shared" si="15"/>
        <v>0</v>
      </c>
      <c r="AK11" s="91">
        <f t="shared" si="26"/>
        <v>0</v>
      </c>
      <c r="AL11" s="94">
        <f t="shared" si="16"/>
        <v>5.8512982865830799E-13</v>
      </c>
      <c r="AM11" s="94">
        <f t="shared" si="27"/>
        <v>0</v>
      </c>
      <c r="AN11" s="91">
        <f t="shared" si="28"/>
        <v>5.8512982865830799E-13</v>
      </c>
      <c r="AO11" s="94">
        <f t="shared" si="17"/>
        <v>1.8517873707611437E-13</v>
      </c>
      <c r="AP11" s="94">
        <f t="shared" si="29"/>
        <v>2.4593574921590401E-11</v>
      </c>
      <c r="AQ11" s="94">
        <f t="shared" si="30"/>
        <v>2.4594272068685941E-11</v>
      </c>
      <c r="AR11" s="94">
        <f t="shared" si="18"/>
        <v>9.1733743745665084E-14</v>
      </c>
      <c r="AS11" s="94">
        <f>B11*(10^('User Cal. Noise Std'!AB12/(ENRconf*10))-1)*R11</f>
        <v>8.9088895429054724E-12</v>
      </c>
      <c r="AT11" s="91">
        <f t="shared" si="31"/>
        <v>2.6164810786099012E-11</v>
      </c>
      <c r="AU11" s="93">
        <f>NseMeas!H11</f>
        <v>438.4470651377784</v>
      </c>
      <c r="AV11" s="93">
        <f>nSD*NseMeas!X11*AT11</f>
        <v>0.21431052931371375</v>
      </c>
      <c r="AW11" s="93">
        <f t="shared" si="32"/>
        <v>1.2775148144004976E-3</v>
      </c>
      <c r="AX11" s="93">
        <f>nSD*NseMeas!X11*AL11</f>
        <v>4.792676863676292E-3</v>
      </c>
      <c r="AY11" s="93">
        <f t="shared" si="33"/>
        <v>2.857347318564107E-5</v>
      </c>
      <c r="AZ11" s="93">
        <f>nSD*NseMeas!X11*AM11</f>
        <v>0</v>
      </c>
      <c r="BA11" s="93">
        <f t="shared" si="34"/>
        <v>0</v>
      </c>
      <c r="BB11" s="93">
        <f>nSD*NseMeas!X11*AO11</f>
        <v>1.5167605638299348E-3</v>
      </c>
      <c r="BC11" s="93">
        <f t="shared" si="35"/>
        <v>9.0427992505187167E-6</v>
      </c>
      <c r="BD11" s="93">
        <f>nSD*NseMeas!X11*AP11</f>
        <v>0.20144086277752646</v>
      </c>
      <c r="BE11" s="93">
        <f t="shared" si="36"/>
        <v>1.2008087516612526E-3</v>
      </c>
      <c r="BF11" s="93">
        <f>nSD*NseMeas!X11*AR11</f>
        <v>7.5137203699966661E-4</v>
      </c>
      <c r="BG11" s="93">
        <f t="shared" si="37"/>
        <v>4.4796194107242438E-6</v>
      </c>
      <c r="BH11" s="91">
        <f t="shared" si="38"/>
        <v>5.0828017928690418E-3</v>
      </c>
      <c r="BI11" s="93">
        <f t="shared" si="39"/>
        <v>3.0303163753411365E-5</v>
      </c>
    </row>
    <row r="12" spans="1:61">
      <c r="A12" s="91">
        <f t="shared" si="19"/>
        <v>3.7960000000000003</v>
      </c>
      <c r="B12" s="92">
        <f>T_0*(1+10^('User Cal. Noise Std'!AA13/10))</f>
        <v>4886.1902581372296</v>
      </c>
      <c r="C12" s="92">
        <f t="shared" si="0"/>
        <v>296</v>
      </c>
      <c r="D12" s="93">
        <f t="shared" si="1"/>
        <v>296</v>
      </c>
      <c r="E12" s="92">
        <f>IF(UsePreamp,T_0*(10^(Preamp!AE13/10)-1),0)</f>
        <v>864.51079460514211</v>
      </c>
      <c r="F12" s="92">
        <f>T_0*(10^((FieldFox!B12-kT0dB)/10)-1)</f>
        <v>4280.1676407373407</v>
      </c>
      <c r="G12" s="93">
        <f>IF(UsePreamp,10^(Preamp!AD13/10),1)</f>
        <v>51.132379081412324</v>
      </c>
      <c r="H12" s="94">
        <f t="shared" si="2"/>
        <v>1.4703777700875778E-8</v>
      </c>
      <c r="I12" s="94">
        <f t="shared" si="20"/>
        <v>3.1356580464083103E-9</v>
      </c>
      <c r="J12" s="94">
        <f t="shared" si="21"/>
        <v>2.2554749649943039E-10</v>
      </c>
      <c r="K12" s="95">
        <f t="shared" si="3"/>
        <v>864.51079460514211</v>
      </c>
      <c r="L12" s="93">
        <f t="shared" si="4"/>
        <v>51.132379081412324</v>
      </c>
      <c r="M12" s="94">
        <f t="shared" si="22"/>
        <v>2.1787254453869843E-9</v>
      </c>
      <c r="N12" s="94">
        <f t="shared" si="23"/>
        <v>2.1787254453869843E-9</v>
      </c>
      <c r="O12" s="94">
        <f t="shared" si="24"/>
        <v>1.2314093835309363E-8</v>
      </c>
      <c r="P12" s="91">
        <f t="shared" si="5"/>
        <v>1.0644853444746147</v>
      </c>
      <c r="Q12" s="94">
        <f t="shared" si="6"/>
        <v>6.4485344474614736E-2</v>
      </c>
      <c r="R12" s="94">
        <f t="shared" si="7"/>
        <v>1.6251487169175071E-13</v>
      </c>
      <c r="S12" s="91">
        <v>-1</v>
      </c>
      <c r="T12" s="93">
        <f>FieldFox!AD12</f>
        <v>5.5</v>
      </c>
      <c r="U12" s="93">
        <f>FieldFox!AC12</f>
        <v>4.4430995112165279</v>
      </c>
      <c r="V12" s="93">
        <f>FieldFox!AE12</f>
        <v>1.0569004887834728</v>
      </c>
      <c r="W12" s="94">
        <f t="shared" si="8"/>
        <v>1.8054045564434553E-4</v>
      </c>
      <c r="X12" s="94">
        <f t="shared" si="9"/>
        <v>2.0086897287854743E-4</v>
      </c>
      <c r="Y12" s="94">
        <f t="shared" si="10"/>
        <v>4.11849771684374E-4</v>
      </c>
      <c r="Z12" s="91">
        <f>IF(UsePreamp,Preamp!AF13,FieldFox!D12)</f>
        <v>0.17782794100389224</v>
      </c>
      <c r="AA12" s="91">
        <f t="shared" si="11"/>
        <v>0.40853898265363492</v>
      </c>
      <c r="AB12" s="91">
        <f>'User Cal. Noise Std'!AC13</f>
        <v>0.22</v>
      </c>
      <c r="AC12" s="91">
        <f>'User Cal. Noise Std'!AD13</f>
        <v>0.12</v>
      </c>
      <c r="AD12" s="91">
        <f>IF(UsePreamp,Preamp!AH13,0)</f>
        <v>0</v>
      </c>
      <c r="AE12" s="91">
        <f>DUT!AG13</f>
        <v>0.31622776601683794</v>
      </c>
      <c r="AF12" s="94">
        <f t="shared" si="12"/>
        <v>3.9363040606580863E-10</v>
      </c>
      <c r="AG12" s="94">
        <f t="shared" si="13"/>
        <v>0</v>
      </c>
      <c r="AH12" s="91">
        <f t="shared" si="25"/>
        <v>3.9363040606580863E-10</v>
      </c>
      <c r="AI12" s="94">
        <f t="shared" si="14"/>
        <v>0</v>
      </c>
      <c r="AJ12" s="94">
        <f t="shared" si="15"/>
        <v>0</v>
      </c>
      <c r="AK12" s="91">
        <f t="shared" si="26"/>
        <v>0</v>
      </c>
      <c r="AL12" s="94">
        <f t="shared" si="16"/>
        <v>6.0261913280063156E-13</v>
      </c>
      <c r="AM12" s="94">
        <f t="shared" si="27"/>
        <v>0</v>
      </c>
      <c r="AN12" s="91">
        <f t="shared" si="28"/>
        <v>6.0261913280063156E-13</v>
      </c>
      <c r="AO12" s="94">
        <f t="shared" si="17"/>
        <v>1.9045957513769092E-13</v>
      </c>
      <c r="AP12" s="94">
        <f t="shared" si="29"/>
        <v>2.5383392330836147E-11</v>
      </c>
      <c r="AQ12" s="94">
        <f t="shared" si="30"/>
        <v>2.5384106859822997E-11</v>
      </c>
      <c r="AR12" s="94">
        <f t="shared" si="18"/>
        <v>9.2891684937272547E-14</v>
      </c>
      <c r="AS12" s="94">
        <f>B12*(10^('User Cal. Noise Std'!AB13/(ENRconf*10))-1)*R12</f>
        <v>9.1949966290231972E-12</v>
      </c>
      <c r="AT12" s="91">
        <f t="shared" si="31"/>
        <v>2.7005048097772548E-11</v>
      </c>
      <c r="AU12" s="93">
        <f>NseMeas!H12</f>
        <v>438.4470651377784</v>
      </c>
      <c r="AV12" s="93">
        <f>nSD*NseMeas!X12*AT12</f>
        <v>0.21431021186066604</v>
      </c>
      <c r="AW12" s="93">
        <f t="shared" si="32"/>
        <v>1.2775129223275609E-3</v>
      </c>
      <c r="AX12" s="93">
        <f>nSD*NseMeas!X12*AL12</f>
        <v>4.7823441585518461E-3</v>
      </c>
      <c r="AY12" s="93">
        <f t="shared" si="33"/>
        <v>2.8511870805160465E-5</v>
      </c>
      <c r="AZ12" s="93">
        <f>nSD*NseMeas!X12*AM12</f>
        <v>0</v>
      </c>
      <c r="BA12" s="93">
        <f t="shared" si="34"/>
        <v>0</v>
      </c>
      <c r="BB12" s="93">
        <f>nSD*NseMeas!X12*AO12</f>
        <v>1.5114741418297167E-3</v>
      </c>
      <c r="BC12" s="93">
        <f t="shared" si="35"/>
        <v>9.0112820780056192E-6</v>
      </c>
      <c r="BD12" s="93">
        <f>nSD*NseMeas!X12*AP12</f>
        <v>0.2014408627775264</v>
      </c>
      <c r="BE12" s="93">
        <f t="shared" si="36"/>
        <v>1.2008087516612526E-3</v>
      </c>
      <c r="BF12" s="93">
        <f>nSD*NseMeas!X12*AR12</f>
        <v>7.3718204859050626E-4</v>
      </c>
      <c r="BG12" s="93">
        <f t="shared" si="37"/>
        <v>4.3950198884507134E-6</v>
      </c>
      <c r="BH12" s="91">
        <f t="shared" si="38"/>
        <v>5.0693990871718648E-3</v>
      </c>
      <c r="BI12" s="93">
        <f t="shared" si="39"/>
        <v>3.0223258418876763E-5</v>
      </c>
    </row>
    <row r="13" spans="1:61">
      <c r="A13" s="91">
        <f t="shared" si="19"/>
        <v>4.3239999999999998</v>
      </c>
      <c r="B13" s="92">
        <f>T_0*(1+10^('User Cal. Noise Std'!AA14/10))</f>
        <v>4886.1902581372296</v>
      </c>
      <c r="C13" s="92">
        <f t="shared" si="0"/>
        <v>296</v>
      </c>
      <c r="D13" s="93">
        <f t="shared" si="1"/>
        <v>296</v>
      </c>
      <c r="E13" s="92">
        <f>IF(UsePreamp,T_0*(10^(Preamp!AE14/10)-1),0)</f>
        <v>627.06052144883006</v>
      </c>
      <c r="F13" s="92">
        <f>T_0*(10^((FieldFox!B13-kT0dB)/10)-1)</f>
        <v>4280.1676407373407</v>
      </c>
      <c r="G13" s="93">
        <f>IF(UsePreamp,10^(Preamp!AD14/10),1)</f>
        <v>52.774484521691321</v>
      </c>
      <c r="H13" s="94">
        <f t="shared" si="2"/>
        <v>1.4551575275384181E-8</v>
      </c>
      <c r="I13" s="94">
        <f t="shared" si="20"/>
        <v>2.6119479273639817E-9</v>
      </c>
      <c r="J13" s="94">
        <f t="shared" si="21"/>
        <v>2.2554749649943039E-10</v>
      </c>
      <c r="K13" s="95">
        <f t="shared" si="3"/>
        <v>627.06052144882983</v>
      </c>
      <c r="L13" s="93">
        <f t="shared" si="4"/>
        <v>52.774484521691321</v>
      </c>
      <c r="M13" s="94">
        <f t="shared" si="22"/>
        <v>1.6310585247489378E-9</v>
      </c>
      <c r="N13" s="94">
        <f t="shared" si="23"/>
        <v>1.6310585247489382E-9</v>
      </c>
      <c r="O13" s="94">
        <f t="shared" si="24"/>
        <v>1.270955833045581E-8</v>
      </c>
      <c r="P13" s="91">
        <f t="shared" si="5"/>
        <v>1.0644853444746147</v>
      </c>
      <c r="Q13" s="94">
        <f t="shared" si="6"/>
        <v>6.4485344474614736E-2</v>
      </c>
      <c r="R13" s="94">
        <f t="shared" si="7"/>
        <v>1.6773400210824013E-13</v>
      </c>
      <c r="S13" s="91">
        <v>-1</v>
      </c>
      <c r="T13" s="93">
        <f>FieldFox!AD13</f>
        <v>5.5</v>
      </c>
      <c r="U13" s="93">
        <f>FieldFox!AC13</f>
        <v>4.4341870637491354</v>
      </c>
      <c r="V13" s="93">
        <f>FieldFox!AE13</f>
        <v>1.0658129362508644</v>
      </c>
      <c r="W13" s="94">
        <f t="shared" si="8"/>
        <v>1.8054045564434553E-4</v>
      </c>
      <c r="X13" s="94">
        <f t="shared" si="9"/>
        <v>2.010707387806418E-4</v>
      </c>
      <c r="Y13" s="94">
        <f t="shared" si="10"/>
        <v>4.101241897123077E-4</v>
      </c>
      <c r="Z13" s="91">
        <f>IF(UsePreamp,Preamp!AF14,FieldFox!D13)</f>
        <v>0.3981071705534972</v>
      </c>
      <c r="AA13" s="91">
        <f t="shared" si="11"/>
        <v>0.40853898265363492</v>
      </c>
      <c r="AB13" s="91">
        <f>'User Cal. Noise Std'!AC14</f>
        <v>0.22</v>
      </c>
      <c r="AC13" s="91">
        <f>'User Cal. Noise Std'!AD14</f>
        <v>0.12</v>
      </c>
      <c r="AD13" s="91">
        <f>IF(UsePreamp,Preamp!AH14,0)</f>
        <v>0</v>
      </c>
      <c r="AE13" s="91">
        <f>DUT!AG14</f>
        <v>0.31622776601683794</v>
      </c>
      <c r="AF13" s="94">
        <f t="shared" si="12"/>
        <v>9.0952918279813687E-10</v>
      </c>
      <c r="AG13" s="94">
        <f t="shared" si="13"/>
        <v>0</v>
      </c>
      <c r="AH13" s="91">
        <f t="shared" si="25"/>
        <v>9.0952918279813687E-10</v>
      </c>
      <c r="AI13" s="94">
        <f t="shared" si="14"/>
        <v>0</v>
      </c>
      <c r="AJ13" s="94">
        <f t="shared" si="15"/>
        <v>0</v>
      </c>
      <c r="AK13" s="91">
        <f t="shared" si="26"/>
        <v>0</v>
      </c>
      <c r="AL13" s="94">
        <f t="shared" si="16"/>
        <v>5.0197112427849522E-13</v>
      </c>
      <c r="AM13" s="94">
        <f t="shared" si="27"/>
        <v>0</v>
      </c>
      <c r="AN13" s="91">
        <f t="shared" si="28"/>
        <v>5.0197112427849522E-13</v>
      </c>
      <c r="AO13" s="94">
        <f t="shared" si="17"/>
        <v>1.88677410879342E-13</v>
      </c>
      <c r="AP13" s="94">
        <f t="shared" si="29"/>
        <v>5.8651302662452687E-11</v>
      </c>
      <c r="AQ13" s="94">
        <f t="shared" si="30"/>
        <v>5.8651606143122856E-11</v>
      </c>
      <c r="AR13" s="94">
        <f t="shared" si="18"/>
        <v>9.2502484243468443E-14</v>
      </c>
      <c r="AS13" s="94">
        <f>B13*(10^('User Cal. Noise Std'!AB14/(ENRconf*10))-1)*R13</f>
        <v>9.4902919831436326E-12</v>
      </c>
      <c r="AT13" s="91">
        <f t="shared" si="31"/>
        <v>5.9416639730066589E-11</v>
      </c>
      <c r="AU13" s="93">
        <f>NseMeas!H13</f>
        <v>438.4470651377784</v>
      </c>
      <c r="AV13" s="93">
        <f>nSD*NseMeas!X13*AT13</f>
        <v>0.45685459505639464</v>
      </c>
      <c r="AW13" s="93">
        <f t="shared" si="32"/>
        <v>2.7228778547414598E-3</v>
      </c>
      <c r="AX13" s="93">
        <f>nSD*NseMeas!X13*AL13</f>
        <v>3.8596564153426599E-3</v>
      </c>
      <c r="AY13" s="93">
        <f t="shared" si="33"/>
        <v>2.3010910781865228E-5</v>
      </c>
      <c r="AZ13" s="93">
        <f>nSD*NseMeas!X13*AM13</f>
        <v>0</v>
      </c>
      <c r="BA13" s="93">
        <f t="shared" si="34"/>
        <v>0</v>
      </c>
      <c r="BB13" s="93">
        <f>nSD*NseMeas!X13*AO13</f>
        <v>1.4507407779230563E-3</v>
      </c>
      <c r="BC13" s="93">
        <f t="shared" si="35"/>
        <v>8.6491952170975698E-6</v>
      </c>
      <c r="BD13" s="93">
        <f>nSD*NseMeas!X13*AP13</f>
        <v>0.45096991767149253</v>
      </c>
      <c r="BE13" s="93">
        <f t="shared" si="36"/>
        <v>2.6878157133072068E-3</v>
      </c>
      <c r="BF13" s="93">
        <f>nSD*NseMeas!X13*AR13</f>
        <v>7.1125168257159764E-4</v>
      </c>
      <c r="BG13" s="93">
        <f t="shared" si="37"/>
        <v>4.2404252131903926E-6</v>
      </c>
      <c r="BH13" s="91">
        <f t="shared" si="38"/>
        <v>4.1841935190888909E-3</v>
      </c>
      <c r="BI13" s="93">
        <f t="shared" si="39"/>
        <v>2.4945765102426129E-5</v>
      </c>
    </row>
    <row r="14" spans="1:61">
      <c r="A14" s="91">
        <f t="shared" si="19"/>
        <v>4.8520000000000003</v>
      </c>
      <c r="B14" s="92">
        <f>T_0*(1+10^('User Cal. Noise Std'!AA15/10))</f>
        <v>4886.1902581372296</v>
      </c>
      <c r="C14" s="92">
        <f t="shared" si="0"/>
        <v>296</v>
      </c>
      <c r="D14" s="93">
        <f t="shared" si="1"/>
        <v>296</v>
      </c>
      <c r="E14" s="92">
        <f>IF(UsePreamp,T_0*(10^(Preamp!AE15/10)-1),0)</f>
        <v>627.06052144883006</v>
      </c>
      <c r="F14" s="92">
        <f>T_0*(10^((FieldFox!B14-kT0dB)/10)-1)</f>
        <v>6953.2275822106776</v>
      </c>
      <c r="G14" s="93">
        <f>IF(UsePreamp,10^(Preamp!AD15/10),1)</f>
        <v>54.469325827686617</v>
      </c>
      <c r="H14" s="94">
        <f t="shared" si="2"/>
        <v>1.5143869352785124E-8</v>
      </c>
      <c r="I14" s="94">
        <f t="shared" si="20"/>
        <v>2.8208034209299917E-9</v>
      </c>
      <c r="J14" s="94">
        <f t="shared" si="21"/>
        <v>3.5729572452000216E-10</v>
      </c>
      <c r="K14" s="95">
        <f t="shared" si="3"/>
        <v>627.0605214488296</v>
      </c>
      <c r="L14" s="93">
        <f t="shared" si="4"/>
        <v>54.469325827686646</v>
      </c>
      <c r="M14" s="94">
        <f t="shared" si="22"/>
        <v>1.6834396211309218E-9</v>
      </c>
      <c r="N14" s="94">
        <f t="shared" si="23"/>
        <v>1.6834396211309227E-9</v>
      </c>
      <c r="O14" s="94">
        <f t="shared" si="24"/>
        <v>1.3117723083454196E-8</v>
      </c>
      <c r="P14" s="91">
        <f t="shared" si="5"/>
        <v>1.0644853444746147</v>
      </c>
      <c r="Q14" s="94">
        <f t="shared" si="6"/>
        <v>6.4485344474614736E-2</v>
      </c>
      <c r="R14" s="94">
        <f t="shared" si="7"/>
        <v>1.7312074378406087E-13</v>
      </c>
      <c r="S14" s="91">
        <v>-1</v>
      </c>
      <c r="T14" s="93">
        <f>FieldFox!AD14</f>
        <v>5.5</v>
      </c>
      <c r="U14" s="93">
        <f>FieldFox!AC14</f>
        <v>4.0267297372593021</v>
      </c>
      <c r="V14" s="93">
        <f>FieldFox!AE14</f>
        <v>1.4732702627406975</v>
      </c>
      <c r="W14" s="94">
        <f t="shared" si="8"/>
        <v>1.8054045564434553E-4</v>
      </c>
      <c r="X14" s="94">
        <f t="shared" si="9"/>
        <v>2.109986312104762E-4</v>
      </c>
      <c r="Y14" s="94">
        <f t="shared" si="10"/>
        <v>3.4883067430866913E-4</v>
      </c>
      <c r="Z14" s="91">
        <f>IF(UsePreamp,Preamp!AF15,FieldFox!D14)</f>
        <v>0.3981071705534972</v>
      </c>
      <c r="AA14" s="91">
        <f t="shared" si="11"/>
        <v>0.40853898265363492</v>
      </c>
      <c r="AB14" s="91">
        <f>'User Cal. Noise Std'!AC15</f>
        <v>0.22</v>
      </c>
      <c r="AC14" s="91">
        <f>'User Cal. Noise Std'!AD15</f>
        <v>0.12</v>
      </c>
      <c r="AD14" s="91">
        <f>IF(UsePreamp,Preamp!AH15,0)</f>
        <v>0</v>
      </c>
      <c r="AE14" s="91">
        <f>DUT!AG15</f>
        <v>0.31622776601683794</v>
      </c>
      <c r="AF14" s="94">
        <f t="shared" si="12"/>
        <v>9.3873851836977759E-10</v>
      </c>
      <c r="AG14" s="94">
        <f t="shared" si="13"/>
        <v>0</v>
      </c>
      <c r="AH14" s="91">
        <f t="shared" si="25"/>
        <v>9.3873851836977759E-10</v>
      </c>
      <c r="AI14" s="94">
        <f t="shared" si="14"/>
        <v>0</v>
      </c>
      <c r="AJ14" s="94">
        <f t="shared" si="15"/>
        <v>0</v>
      </c>
      <c r="AK14" s="91">
        <f t="shared" si="26"/>
        <v>0</v>
      </c>
      <c r="AL14" s="94">
        <f t="shared" si="16"/>
        <v>5.4210953049200482E-13</v>
      </c>
      <c r="AM14" s="94">
        <f t="shared" si="27"/>
        <v>0</v>
      </c>
      <c r="AN14" s="91">
        <f t="shared" si="28"/>
        <v>5.4210953049200482E-13</v>
      </c>
      <c r="AO14" s="94">
        <f t="shared" si="17"/>
        <v>2.0605232362754802E-13</v>
      </c>
      <c r="AP14" s="94">
        <f t="shared" si="29"/>
        <v>6.0534876728664559E-11</v>
      </c>
      <c r="AQ14" s="94">
        <f t="shared" si="30"/>
        <v>6.0535227414412895E-11</v>
      </c>
      <c r="AR14" s="94">
        <f t="shared" si="18"/>
        <v>1.2463570851191683E-13</v>
      </c>
      <c r="AS14" s="94">
        <f>B14*(10^('User Cal. Noise Std'!AB15/(ENRconf*10))-1)*R14</f>
        <v>9.7950706845325018E-12</v>
      </c>
      <c r="AT14" s="91">
        <f t="shared" si="31"/>
        <v>6.1325089356906461E-11</v>
      </c>
      <c r="AU14" s="93">
        <f>NseMeas!H14</f>
        <v>438.4470651377784</v>
      </c>
      <c r="AV14" s="93">
        <f>nSD*NseMeas!X14*AT14</f>
        <v>0.4568568070674775</v>
      </c>
      <c r="AW14" s="93">
        <f t="shared" si="32"/>
        <v>2.7228910343134131E-3</v>
      </c>
      <c r="AX14" s="93">
        <f>nSD*NseMeas!X14*AL14</f>
        <v>4.0385824428241842E-3</v>
      </c>
      <c r="AY14" s="93">
        <f t="shared" si="33"/>
        <v>2.4077648076060969E-5</v>
      </c>
      <c r="AZ14" s="93">
        <f>nSD*NseMeas!X14*AM14</f>
        <v>0</v>
      </c>
      <c r="BA14" s="93">
        <f t="shared" si="34"/>
        <v>0</v>
      </c>
      <c r="BB14" s="93">
        <f>nSD*NseMeas!X14*AO14</f>
        <v>1.5350390459841125E-3</v>
      </c>
      <c r="BC14" s="93">
        <f t="shared" si="35"/>
        <v>9.1517739122216181E-6</v>
      </c>
      <c r="BD14" s="93">
        <f>nSD*NseMeas!X14*AP14</f>
        <v>0.45096991767149269</v>
      </c>
      <c r="BE14" s="93">
        <f t="shared" si="36"/>
        <v>2.6878157133072068E-3</v>
      </c>
      <c r="BF14" s="93">
        <f>nSD*NseMeas!X14*AR14</f>
        <v>9.2850532195652593E-4</v>
      </c>
      <c r="BG14" s="93">
        <f t="shared" si="37"/>
        <v>5.5356730783777667E-6</v>
      </c>
      <c r="BH14" s="91">
        <f t="shared" si="38"/>
        <v>4.4191192734622086E-3</v>
      </c>
      <c r="BI14" s="93">
        <f t="shared" si="39"/>
        <v>2.6346365931286268E-5</v>
      </c>
    </row>
    <row r="15" spans="1:61">
      <c r="A15" s="91">
        <f t="shared" si="19"/>
        <v>5.3800000000000008</v>
      </c>
      <c r="B15" s="92">
        <f>T_0*(1+10^('User Cal. Noise Std'!AA16/10))</f>
        <v>4886.1902581372296</v>
      </c>
      <c r="C15" s="92">
        <f t="shared" si="0"/>
        <v>296</v>
      </c>
      <c r="D15" s="93">
        <f t="shared" si="1"/>
        <v>296</v>
      </c>
      <c r="E15" s="92">
        <f>IF(UsePreamp,T_0*(10^(Preamp!AE16/10)-1),0)</f>
        <v>627.06052144883006</v>
      </c>
      <c r="F15" s="92">
        <f>T_0*(10^((FieldFox!B15-kT0dB)/10)-1)</f>
        <v>6953.2275822106776</v>
      </c>
      <c r="G15" s="93">
        <f>IF(UsePreamp,10^(Preamp!AD16/10),1)</f>
        <v>56.218596600469581</v>
      </c>
      <c r="H15" s="94">
        <f t="shared" si="2"/>
        <v>1.561920553381741E-8</v>
      </c>
      <c r="I15" s="94">
        <f t="shared" si="20"/>
        <v>2.9003869698503085E-9</v>
      </c>
      <c r="J15" s="94">
        <f t="shared" si="21"/>
        <v>3.5729572452000216E-10</v>
      </c>
      <c r="K15" s="95">
        <f t="shared" si="3"/>
        <v>627.06052144883017</v>
      </c>
      <c r="L15" s="93">
        <f t="shared" si="4"/>
        <v>56.218596600469581</v>
      </c>
      <c r="M15" s="94">
        <f t="shared" si="22"/>
        <v>1.7375029252427634E-9</v>
      </c>
      <c r="N15" s="94">
        <f t="shared" si="23"/>
        <v>1.737502925242763E-9</v>
      </c>
      <c r="O15" s="94">
        <f t="shared" si="24"/>
        <v>1.3538995960374642E-8</v>
      </c>
      <c r="P15" s="91">
        <f t="shared" si="5"/>
        <v>1.0644853444746147</v>
      </c>
      <c r="Q15" s="94">
        <f t="shared" si="6"/>
        <v>6.4485344474614736E-2</v>
      </c>
      <c r="R15" s="94">
        <f t="shared" si="7"/>
        <v>1.7868047951903064E-13</v>
      </c>
      <c r="S15" s="91">
        <v>-1</v>
      </c>
      <c r="T15" s="93">
        <f>FieldFox!AD15</f>
        <v>5.5</v>
      </c>
      <c r="U15" s="93">
        <f>FieldFox!AC15</f>
        <v>4.0598252417506862</v>
      </c>
      <c r="V15" s="93">
        <f>FieldFox!AE15</f>
        <v>1.4401747582493134</v>
      </c>
      <c r="W15" s="94">
        <f t="shared" si="8"/>
        <v>1.8054045564434553E-4</v>
      </c>
      <c r="X15" s="94">
        <f t="shared" si="9"/>
        <v>2.1013684584744599E-4</v>
      </c>
      <c r="Y15" s="94">
        <f t="shared" si="10"/>
        <v>3.5281600780925291E-4</v>
      </c>
      <c r="Z15" s="91">
        <f>IF(UsePreamp,Preamp!AF16,FieldFox!D15)</f>
        <v>0.3981071705534972</v>
      </c>
      <c r="AA15" s="91">
        <f t="shared" si="11"/>
        <v>0.40853898265363492</v>
      </c>
      <c r="AB15" s="91">
        <f>'User Cal. Noise Std'!AC16</f>
        <v>0.22</v>
      </c>
      <c r="AC15" s="91">
        <f>'User Cal. Noise Std'!AD16</f>
        <v>0.12</v>
      </c>
      <c r="AD15" s="91">
        <f>IF(UsePreamp,Preamp!AH16,0)</f>
        <v>0</v>
      </c>
      <c r="AE15" s="91">
        <f>DUT!AG16</f>
        <v>0.31622776601683794</v>
      </c>
      <c r="AF15" s="94">
        <f t="shared" si="12"/>
        <v>9.6888590551873262E-10</v>
      </c>
      <c r="AG15" s="94">
        <f t="shared" si="13"/>
        <v>0</v>
      </c>
      <c r="AH15" s="91">
        <f t="shared" si="25"/>
        <v>9.6888590551873262E-10</v>
      </c>
      <c r="AI15" s="94">
        <f t="shared" si="14"/>
        <v>0</v>
      </c>
      <c r="AJ15" s="94">
        <f t="shared" si="15"/>
        <v>0</v>
      </c>
      <c r="AK15" s="91">
        <f t="shared" si="26"/>
        <v>0</v>
      </c>
      <c r="AL15" s="94">
        <f t="shared" si="16"/>
        <v>5.5740410934140818E-13</v>
      </c>
      <c r="AM15" s="94">
        <f t="shared" si="27"/>
        <v>0</v>
      </c>
      <c r="AN15" s="91">
        <f t="shared" si="28"/>
        <v>5.5740410934140818E-13</v>
      </c>
      <c r="AO15" s="94">
        <f t="shared" si="17"/>
        <v>2.1165190083166417E-13</v>
      </c>
      <c r="AP15" s="94">
        <f t="shared" si="29"/>
        <v>6.2478941373974497E-11</v>
      </c>
      <c r="AQ15" s="94">
        <f t="shared" si="30"/>
        <v>6.2479299865952949E-11</v>
      </c>
      <c r="AR15" s="94">
        <f t="shared" si="18"/>
        <v>1.2605965113246175E-13</v>
      </c>
      <c r="AS15" s="94">
        <f>B15*(10^('User Cal. Noise Std'!AB16/(ENRconf*10))-1)*R15</f>
        <v>1.0109637288863162E-11</v>
      </c>
      <c r="AT15" s="91">
        <f t="shared" si="31"/>
        <v>6.3294504249806669E-11</v>
      </c>
      <c r="AU15" s="93">
        <f>NseMeas!H15</f>
        <v>438.4470651377784</v>
      </c>
      <c r="AV15" s="93">
        <f>nSD*NseMeas!X15*AT15</f>
        <v>0.45685661028954622</v>
      </c>
      <c r="AW15" s="93">
        <f t="shared" si="32"/>
        <v>2.7228898618739676E-3</v>
      </c>
      <c r="AX15" s="93">
        <f>nSD*NseMeas!X15*AL15</f>
        <v>4.0233153726922065E-3</v>
      </c>
      <c r="AY15" s="93">
        <f t="shared" si="33"/>
        <v>2.3986627494172085E-5</v>
      </c>
      <c r="AZ15" s="93">
        <f>nSD*NseMeas!X15*AM15</f>
        <v>0</v>
      </c>
      <c r="BA15" s="93">
        <f t="shared" si="34"/>
        <v>0</v>
      </c>
      <c r="BB15" s="93">
        <f>nSD*NseMeas!X15*AO15</f>
        <v>1.5276929825323441E-3</v>
      </c>
      <c r="BC15" s="93">
        <f t="shared" si="35"/>
        <v>9.1079773452882294E-6</v>
      </c>
      <c r="BD15" s="93">
        <f>nSD*NseMeas!X15*AP15</f>
        <v>0.45096991767149291</v>
      </c>
      <c r="BE15" s="93">
        <f t="shared" si="36"/>
        <v>2.6878157133072068E-3</v>
      </c>
      <c r="BF15" s="93">
        <f>nSD*NseMeas!X15*AR15</f>
        <v>9.098923452083937E-4</v>
      </c>
      <c r="BG15" s="93">
        <f t="shared" si="37"/>
        <v>5.4247040973003154E-6</v>
      </c>
      <c r="BH15" s="91">
        <f t="shared" si="38"/>
        <v>4.3987289660638142E-3</v>
      </c>
      <c r="BI15" s="93">
        <f t="shared" si="39"/>
        <v>2.6224801238022624E-5</v>
      </c>
    </row>
    <row r="16" spans="1:61">
      <c r="A16" s="91">
        <f t="shared" si="19"/>
        <v>5.9080000000000013</v>
      </c>
      <c r="B16" s="92">
        <f>T_0*(1+10^('User Cal. Noise Std'!AA17/10))</f>
        <v>4886.1902581372296</v>
      </c>
      <c r="C16" s="92">
        <f t="shared" si="0"/>
        <v>296</v>
      </c>
      <c r="D16" s="93">
        <f t="shared" si="1"/>
        <v>296</v>
      </c>
      <c r="E16" s="92">
        <f>IF(UsePreamp,T_0*(10^(Preamp!AE17/10)-1),0)</f>
        <v>627.06052144883006</v>
      </c>
      <c r="F16" s="92">
        <f>T_0*(10^((FieldFox!B16-kT0dB)/10)-1)</f>
        <v>6953.2275822106776</v>
      </c>
      <c r="G16" s="93">
        <f>IF(UsePreamp,10^(Preamp!AD17/10),1)</f>
        <v>58.024044830748394</v>
      </c>
      <c r="H16" s="94">
        <f t="shared" si="2"/>
        <v>1.6109807034845699E-8</v>
      </c>
      <c r="I16" s="94">
        <f t="shared" si="20"/>
        <v>2.9825263274575368E-9</v>
      </c>
      <c r="J16" s="94">
        <f t="shared" si="21"/>
        <v>3.5729572452000216E-10</v>
      </c>
      <c r="K16" s="95">
        <f t="shared" si="3"/>
        <v>627.06052144882983</v>
      </c>
      <c r="L16" s="93">
        <f t="shared" si="4"/>
        <v>58.024044830748409</v>
      </c>
      <c r="M16" s="94">
        <f t="shared" si="22"/>
        <v>1.7933024608266448E-9</v>
      </c>
      <c r="N16" s="94">
        <f t="shared" si="23"/>
        <v>1.793302460826645E-9</v>
      </c>
      <c r="O16" s="94">
        <f t="shared" si="24"/>
        <v>1.3973797925819052E-8</v>
      </c>
      <c r="P16" s="91">
        <f t="shared" si="5"/>
        <v>1.0644853444746147</v>
      </c>
      <c r="Q16" s="94">
        <f t="shared" si="6"/>
        <v>6.4485344474614736E-2</v>
      </c>
      <c r="R16" s="94">
        <f t="shared" si="7"/>
        <v>1.8441876498043456E-13</v>
      </c>
      <c r="S16" s="91">
        <v>-1</v>
      </c>
      <c r="T16" s="93">
        <f>FieldFox!AD16</f>
        <v>5.5</v>
      </c>
      <c r="U16" s="93">
        <f>FieldFox!AC16</f>
        <v>4.0924596275420972</v>
      </c>
      <c r="V16" s="93">
        <f>FieldFox!AE16</f>
        <v>1.4075403724579025</v>
      </c>
      <c r="W16" s="94">
        <f t="shared" si="8"/>
        <v>1.8054045564434553E-4</v>
      </c>
      <c r="X16" s="94">
        <f t="shared" si="9"/>
        <v>2.0929732468302325E-4</v>
      </c>
      <c r="Y16" s="94">
        <f t="shared" si="10"/>
        <v>3.5688266117080624E-4</v>
      </c>
      <c r="Z16" s="91">
        <f>IF(UsePreamp,Preamp!AF17,FieldFox!D16)</f>
        <v>0.3981071705534972</v>
      </c>
      <c r="AA16" s="91">
        <f t="shared" si="11"/>
        <v>0.40853898265363492</v>
      </c>
      <c r="AB16" s="91">
        <f>'User Cal. Noise Std'!AC17</f>
        <v>0.22</v>
      </c>
      <c r="AC16" s="91">
        <f>'User Cal. Noise Std'!AD17</f>
        <v>0.12</v>
      </c>
      <c r="AD16" s="91">
        <f>IF(UsePreamp,Preamp!AH17,0)</f>
        <v>0</v>
      </c>
      <c r="AE16" s="91">
        <f>DUT!AG17</f>
        <v>0.31622776601683794</v>
      </c>
      <c r="AF16" s="94">
        <f t="shared" si="12"/>
        <v>1.0000014695711848E-9</v>
      </c>
      <c r="AG16" s="94">
        <f t="shared" si="13"/>
        <v>0</v>
      </c>
      <c r="AH16" s="91">
        <f t="shared" si="25"/>
        <v>1.0000014695711848E-9</v>
      </c>
      <c r="AI16" s="94">
        <f t="shared" si="14"/>
        <v>0</v>
      </c>
      <c r="AJ16" s="94">
        <f t="shared" si="15"/>
        <v>0</v>
      </c>
      <c r="AK16" s="91">
        <f t="shared" si="26"/>
        <v>0</v>
      </c>
      <c r="AL16" s="94">
        <f t="shared" si="16"/>
        <v>5.731898703260176E-13</v>
      </c>
      <c r="AM16" s="94">
        <f t="shared" si="27"/>
        <v>0</v>
      </c>
      <c r="AN16" s="91">
        <f t="shared" si="28"/>
        <v>5.731898703260176E-13</v>
      </c>
      <c r="AO16" s="94">
        <f t="shared" si="17"/>
        <v>2.1742778401013206E-13</v>
      </c>
      <c r="AP16" s="94">
        <f t="shared" si="29"/>
        <v>6.4485439240418816E-11</v>
      </c>
      <c r="AQ16" s="94">
        <f t="shared" si="30"/>
        <v>6.4485805793763682E-11</v>
      </c>
      <c r="AR16" s="94">
        <f t="shared" si="18"/>
        <v>1.2751264899164966E-13</v>
      </c>
      <c r="AS16" s="94">
        <f>B16*(10^('User Cal. Noise Std'!AB17/(ENRconf*10))-1)*R16</f>
        <v>1.0434306132549424E-11</v>
      </c>
      <c r="AT16" s="91">
        <f t="shared" si="31"/>
        <v>6.532716662646454E-11</v>
      </c>
      <c r="AU16" s="93">
        <f>NseMeas!H16</f>
        <v>438.4470651377784</v>
      </c>
      <c r="AV16" s="93">
        <f>nSD*NseMeas!X16*AT16</f>
        <v>0.45685642064732979</v>
      </c>
      <c r="AW16" s="93">
        <f t="shared" si="32"/>
        <v>2.7228887319510914E-3</v>
      </c>
      <c r="AX16" s="93">
        <f>nSD*NseMeas!X16*AL16</f>
        <v>4.0085233453607001E-3</v>
      </c>
      <c r="AY16" s="93">
        <f t="shared" si="33"/>
        <v>2.3898439061879614E-5</v>
      </c>
      <c r="AZ16" s="93">
        <f>nSD*NseMeas!X16*AM16</f>
        <v>0</v>
      </c>
      <c r="BA16" s="93">
        <f t="shared" si="34"/>
        <v>0</v>
      </c>
      <c r="BB16" s="93">
        <f>nSD*NseMeas!X16*AO16</f>
        <v>1.5205508562789708E-3</v>
      </c>
      <c r="BC16" s="93">
        <f t="shared" si="35"/>
        <v>9.0653966322323497E-6</v>
      </c>
      <c r="BD16" s="93">
        <f>nSD*NseMeas!X16*AP16</f>
        <v>0.4509699176714928</v>
      </c>
      <c r="BE16" s="93">
        <f t="shared" si="36"/>
        <v>2.6878157133072068E-3</v>
      </c>
      <c r="BF16" s="93">
        <f>nSD*NseMeas!X16*AR16</f>
        <v>8.917419109676321E-4</v>
      </c>
      <c r="BG16" s="93">
        <f t="shared" si="37"/>
        <v>5.3164927519452069E-6</v>
      </c>
      <c r="BH16" s="91">
        <f t="shared" si="38"/>
        <v>4.3789882338970323E-3</v>
      </c>
      <c r="BI16" s="93">
        <f t="shared" si="39"/>
        <v>2.6107109235968099E-5</v>
      </c>
    </row>
    <row r="17" spans="1:61">
      <c r="A17" s="91">
        <f t="shared" si="19"/>
        <v>6.4360000000000017</v>
      </c>
      <c r="B17" s="92">
        <f>T_0*(1+10^('User Cal. Noise Std'!AA18/10))</f>
        <v>4886.1902581372296</v>
      </c>
      <c r="C17" s="92">
        <f t="shared" si="0"/>
        <v>296</v>
      </c>
      <c r="D17" s="93">
        <f t="shared" si="1"/>
        <v>296</v>
      </c>
      <c r="E17" s="92">
        <f>IF(UsePreamp,T_0*(10^(Preamp!AE18/10)-1),0)</f>
        <v>438.4470651377784</v>
      </c>
      <c r="F17" s="92">
        <f>T_0*(10^((FieldFox!B17-kT0dB)/10)-1)</f>
        <v>6953.2275822106776</v>
      </c>
      <c r="G17" s="93">
        <f>IF(UsePreamp,10^(Preamp!AD18/10),1)</f>
        <v>59.887474645579729</v>
      </c>
      <c r="H17" s="94">
        <f t="shared" si="2"/>
        <v>1.6059433926180504E-8</v>
      </c>
      <c r="I17" s="94">
        <f t="shared" si="20"/>
        <v>2.5105734008192895E-9</v>
      </c>
      <c r="J17" s="94">
        <f t="shared" si="21"/>
        <v>3.5729572452000216E-10</v>
      </c>
      <c r="K17" s="95">
        <f t="shared" si="3"/>
        <v>438.44706513777857</v>
      </c>
      <c r="L17" s="93">
        <f t="shared" si="4"/>
        <v>59.887474645579729</v>
      </c>
      <c r="M17" s="94">
        <f t="shared" si="22"/>
        <v>1.2941638144028599E-9</v>
      </c>
      <c r="N17" s="94">
        <f t="shared" si="23"/>
        <v>1.2941638144028595E-9</v>
      </c>
      <c r="O17" s="94">
        <f t="shared" si="24"/>
        <v>1.4422563463577644E-8</v>
      </c>
      <c r="P17" s="91">
        <f t="shared" si="5"/>
        <v>1.0644853444746147</v>
      </c>
      <c r="Q17" s="94">
        <f t="shared" si="6"/>
        <v>6.4485344474614736E-2</v>
      </c>
      <c r="R17" s="94">
        <f t="shared" si="7"/>
        <v>1.9034133425462628E-13</v>
      </c>
      <c r="S17" s="91">
        <v>-1</v>
      </c>
      <c r="T17" s="93">
        <f>FieldFox!AD17</f>
        <v>5.5</v>
      </c>
      <c r="U17" s="93">
        <f>FieldFox!AC17</f>
        <v>4.0891771435560447</v>
      </c>
      <c r="V17" s="93">
        <f>FieldFox!AE17</f>
        <v>1.4108228564439553</v>
      </c>
      <c r="W17" s="94">
        <f t="shared" si="8"/>
        <v>1.8054045564434553E-4</v>
      </c>
      <c r="X17" s="94">
        <f t="shared" si="9"/>
        <v>2.0938131191037597E-4</v>
      </c>
      <c r="Y17" s="94">
        <f t="shared" si="10"/>
        <v>3.5646724976656313E-4</v>
      </c>
      <c r="Z17" s="91">
        <f>IF(UsePreamp,Preamp!AF18,FieldFox!D17)</f>
        <v>0.3981071705534972</v>
      </c>
      <c r="AA17" s="91">
        <f t="shared" si="11"/>
        <v>0.40853898265363492</v>
      </c>
      <c r="AB17" s="91">
        <f>'User Cal. Noise Std'!AC18</f>
        <v>0.22</v>
      </c>
      <c r="AC17" s="91">
        <f>'User Cal. Noise Std'!AD18</f>
        <v>0.12</v>
      </c>
      <c r="AD17" s="91">
        <f>IF(UsePreamp,Preamp!AH18,0)</f>
        <v>0</v>
      </c>
      <c r="AE17" s="91">
        <f>DUT!AG18</f>
        <v>0.31622776601683794</v>
      </c>
      <c r="AF17" s="94">
        <f t="shared" si="12"/>
        <v>1.0321163033217375E-9</v>
      </c>
      <c r="AG17" s="94">
        <f t="shared" si="13"/>
        <v>0</v>
      </c>
      <c r="AH17" s="91">
        <f t="shared" si="25"/>
        <v>1.0321163033217375E-9</v>
      </c>
      <c r="AI17" s="94">
        <f t="shared" si="14"/>
        <v>0</v>
      </c>
      <c r="AJ17" s="94">
        <f t="shared" si="15"/>
        <v>0</v>
      </c>
      <c r="AK17" s="91">
        <f t="shared" si="26"/>
        <v>0</v>
      </c>
      <c r="AL17" s="94">
        <f t="shared" si="16"/>
        <v>4.8248869718654503E-13</v>
      </c>
      <c r="AM17" s="94">
        <f t="shared" si="27"/>
        <v>0</v>
      </c>
      <c r="AN17" s="91">
        <f t="shared" si="28"/>
        <v>4.8248869718654503E-13</v>
      </c>
      <c r="AO17" s="94">
        <f t="shared" si="17"/>
        <v>2.1683489481945983E-13</v>
      </c>
      <c r="AP17" s="94">
        <f t="shared" si="29"/>
        <v>6.6556375357568189E-11</v>
      </c>
      <c r="AQ17" s="94">
        <f t="shared" si="30"/>
        <v>6.6556728571265599E-11</v>
      </c>
      <c r="AR17" s="94">
        <f t="shared" si="18"/>
        <v>1.2736422427299674E-13</v>
      </c>
      <c r="AS17" s="94">
        <f>B17*(10^('User Cal. Noise Std'!AB18/(ENRconf*10))-1)*R17</f>
        <v>1.0769401646851906E-11</v>
      </c>
      <c r="AT17" s="91">
        <f t="shared" si="31"/>
        <v>6.7424232638784087E-11</v>
      </c>
      <c r="AU17" s="93">
        <f>NseMeas!H17</f>
        <v>438.4470651377784</v>
      </c>
      <c r="AV17" s="93">
        <f>nSD*NseMeas!X17*AT17</f>
        <v>0.45685030891212003</v>
      </c>
      <c r="AW17" s="93">
        <f t="shared" si="32"/>
        <v>2.7228523170980995E-3</v>
      </c>
      <c r="AX17" s="93">
        <f>nSD*NseMeas!X17*AL17</f>
        <v>3.2692268303174642E-3</v>
      </c>
      <c r="AY17" s="93">
        <f t="shared" si="33"/>
        <v>1.949083268267107E-5</v>
      </c>
      <c r="AZ17" s="93">
        <f>nSD*NseMeas!X17*AM17</f>
        <v>0</v>
      </c>
      <c r="BA17" s="93">
        <f t="shared" si="34"/>
        <v>0</v>
      </c>
      <c r="BB17" s="93">
        <f>nSD*NseMeas!X17*AO17</f>
        <v>1.4692208543462886E-3</v>
      </c>
      <c r="BC17" s="93">
        <f t="shared" si="35"/>
        <v>8.7593717757909121E-6</v>
      </c>
      <c r="BD17" s="93">
        <f>nSD*NseMeas!X17*AP17</f>
        <v>0.4509699176714928</v>
      </c>
      <c r="BE17" s="93">
        <f t="shared" si="36"/>
        <v>2.6878157133072068E-3</v>
      </c>
      <c r="BF17" s="93">
        <f>nSD*NseMeas!X17*AR17</f>
        <v>8.6298920916455253E-4</v>
      </c>
      <c r="BG17" s="93">
        <f t="shared" si="37"/>
        <v>5.1450715833466694E-6</v>
      </c>
      <c r="BH17" s="91">
        <f t="shared" si="38"/>
        <v>3.6866250639369436E-3</v>
      </c>
      <c r="BI17" s="93">
        <f t="shared" si="39"/>
        <v>2.197931664807544E-5</v>
      </c>
    </row>
    <row r="18" spans="1:61">
      <c r="A18" s="91">
        <f t="shared" si="19"/>
        <v>6.9640000000000022</v>
      </c>
      <c r="B18" s="92">
        <f>T_0*(1+10^('User Cal. Noise Std'!AA19/10))</f>
        <v>4886.1902581372296</v>
      </c>
      <c r="C18" s="92">
        <f t="shared" si="0"/>
        <v>296</v>
      </c>
      <c r="D18" s="93">
        <f t="shared" si="1"/>
        <v>296</v>
      </c>
      <c r="E18" s="92">
        <f>IF(UsePreamp,T_0*(10^(Preamp!AE19/10)-1),0)</f>
        <v>438.4470651377784</v>
      </c>
      <c r="F18" s="92">
        <f>T_0*(10^((FieldFox!B18-kT0dB)/10)-1)</f>
        <v>6953.2275822106776</v>
      </c>
      <c r="G18" s="93">
        <f>IF(UsePreamp,10^(Preamp!AD19/10),1)</f>
        <v>61.810748111175741</v>
      </c>
      <c r="H18" s="94">
        <f t="shared" si="2"/>
        <v>1.6564173268065246E-8</v>
      </c>
      <c r="I18" s="94">
        <f t="shared" si="20"/>
        <v>2.580193978860614E-9</v>
      </c>
      <c r="J18" s="94">
        <f t="shared" si="21"/>
        <v>3.5729572452000216E-10</v>
      </c>
      <c r="K18" s="95">
        <f t="shared" si="3"/>
        <v>438.44706513777817</v>
      </c>
      <c r="L18" s="93">
        <f t="shared" si="4"/>
        <v>61.810748111175741</v>
      </c>
      <c r="M18" s="94">
        <f t="shared" si="22"/>
        <v>1.3357256090703731E-9</v>
      </c>
      <c r="N18" s="94">
        <f t="shared" si="23"/>
        <v>1.3357256090703735E-9</v>
      </c>
      <c r="O18" s="94">
        <f t="shared" si="24"/>
        <v>1.4885741010794869E-8</v>
      </c>
      <c r="P18" s="91">
        <f t="shared" si="5"/>
        <v>1.0644853444746147</v>
      </c>
      <c r="Q18" s="94">
        <f t="shared" si="6"/>
        <v>6.4485344474614736E-2</v>
      </c>
      <c r="R18" s="94">
        <f t="shared" si="7"/>
        <v>1.9645410557691952E-13</v>
      </c>
      <c r="S18" s="91">
        <v>-1</v>
      </c>
      <c r="T18" s="93">
        <f>FieldFox!AD18</f>
        <v>5.5</v>
      </c>
      <c r="U18" s="93">
        <f>FieldFox!AC18</f>
        <v>4.121391619704533</v>
      </c>
      <c r="V18" s="93">
        <f>FieldFox!AE18</f>
        <v>1.3786083802954672</v>
      </c>
      <c r="W18" s="94">
        <f t="shared" si="8"/>
        <v>1.8054045564434553E-4</v>
      </c>
      <c r="X18" s="94">
        <f t="shared" si="9"/>
        <v>2.0856140175643794E-4</v>
      </c>
      <c r="Y18" s="94">
        <f t="shared" si="10"/>
        <v>3.6060805367806845E-4</v>
      </c>
      <c r="Z18" s="91">
        <f>IF(UsePreamp,Preamp!AF19,FieldFox!D18)</f>
        <v>0.3981071705534972</v>
      </c>
      <c r="AA18" s="91">
        <f t="shared" si="11"/>
        <v>0.40853898265363492</v>
      </c>
      <c r="AB18" s="91">
        <f>'User Cal. Noise Std'!AC19</f>
        <v>0.22</v>
      </c>
      <c r="AC18" s="91">
        <f>'User Cal. Noise Std'!AD19</f>
        <v>0.12</v>
      </c>
      <c r="AD18" s="91">
        <f>IF(UsePreamp,Preamp!AH19,0)</f>
        <v>0</v>
      </c>
      <c r="AE18" s="91">
        <f>DUT!AG19</f>
        <v>0.31622776601683794</v>
      </c>
      <c r="AF18" s="94">
        <f t="shared" si="12"/>
        <v>1.0652624981034579E-9</v>
      </c>
      <c r="AG18" s="94">
        <f t="shared" si="13"/>
        <v>0</v>
      </c>
      <c r="AH18" s="91">
        <f t="shared" si="25"/>
        <v>1.0652624981034579E-9</v>
      </c>
      <c r="AI18" s="94">
        <f t="shared" si="14"/>
        <v>0</v>
      </c>
      <c r="AJ18" s="94">
        <f t="shared" si="15"/>
        <v>0</v>
      </c>
      <c r="AK18" s="91">
        <f t="shared" si="26"/>
        <v>0</v>
      </c>
      <c r="AL18" s="94">
        <f t="shared" si="16"/>
        <v>4.9586856570007691E-13</v>
      </c>
      <c r="AM18" s="94">
        <f t="shared" si="27"/>
        <v>0</v>
      </c>
      <c r="AN18" s="91">
        <f t="shared" si="28"/>
        <v>4.9586856570007691E-13</v>
      </c>
      <c r="AO18" s="94">
        <f t="shared" si="17"/>
        <v>2.2277411445453718E-13</v>
      </c>
      <c r="AP18" s="94">
        <f t="shared" si="29"/>
        <v>6.8693819146090111E-11</v>
      </c>
      <c r="AQ18" s="94">
        <f t="shared" si="30"/>
        <v>6.8694180373462553E-11</v>
      </c>
      <c r="AR18" s="94">
        <f t="shared" si="18"/>
        <v>1.2884371580665329E-13</v>
      </c>
      <c r="AS18" s="94">
        <f>B18*(10^('User Cal. Noise Std'!AB19/(ENRconf*10))-1)*R18</f>
        <v>1.1115258682071958E-11</v>
      </c>
      <c r="AT18" s="91">
        <f t="shared" si="31"/>
        <v>6.958952420507512E-11</v>
      </c>
      <c r="AU18" s="93">
        <f>NseMeas!H18</f>
        <v>438.4470651377784</v>
      </c>
      <c r="AV18" s="93">
        <f>nSD*NseMeas!X18*AT18</f>
        <v>0.4568501561227768</v>
      </c>
      <c r="AW18" s="93">
        <f t="shared" si="32"/>
        <v>2.7228514067508397E-3</v>
      </c>
      <c r="AX18" s="93">
        <f>nSD*NseMeas!X18*AL18</f>
        <v>3.2553410049028079E-3</v>
      </c>
      <c r="AY18" s="93">
        <f t="shared" si="33"/>
        <v>1.9408046841294083E-5</v>
      </c>
      <c r="AZ18" s="93">
        <f>nSD*NseMeas!X18*AM18</f>
        <v>0</v>
      </c>
      <c r="BA18" s="93">
        <f t="shared" si="34"/>
        <v>0</v>
      </c>
      <c r="BB18" s="93">
        <f>nSD*NseMeas!X18*AO18</f>
        <v>1.4624958301014839E-3</v>
      </c>
      <c r="BC18" s="93">
        <f t="shared" si="35"/>
        <v>8.7192777848497921E-6</v>
      </c>
      <c r="BD18" s="93">
        <f>nSD*NseMeas!X18*AP18</f>
        <v>0.45096991767149247</v>
      </c>
      <c r="BE18" s="93">
        <f t="shared" si="36"/>
        <v>2.6878157133072068E-3</v>
      </c>
      <c r="BF18" s="93">
        <f>nSD*NseMeas!X18*AR18</f>
        <v>8.4584960673456436E-4</v>
      </c>
      <c r="BG18" s="93">
        <f t="shared" si="37"/>
        <v>5.0428867248870952E-6</v>
      </c>
      <c r="BH18" s="91">
        <f t="shared" si="38"/>
        <v>3.6676423855767164E-3</v>
      </c>
      <c r="BI18" s="93">
        <f t="shared" si="39"/>
        <v>2.1866143965824034E-5</v>
      </c>
    </row>
    <row r="19" spans="1:61">
      <c r="A19" s="91">
        <f t="shared" si="19"/>
        <v>7.4920000000000027</v>
      </c>
      <c r="B19" s="92">
        <f>T_0*(1+10^('User Cal. Noise Std'!AA20/10))</f>
        <v>4886.1902581372296</v>
      </c>
      <c r="C19" s="92">
        <f t="shared" si="0"/>
        <v>296</v>
      </c>
      <c r="D19" s="93">
        <f t="shared" si="1"/>
        <v>296</v>
      </c>
      <c r="E19" s="92">
        <f>IF(UsePreamp,T_0*(10^(Preamp!AE20/10)-1),0)</f>
        <v>438.4470651377784</v>
      </c>
      <c r="F19" s="92">
        <f>T_0*(10^((FieldFox!B19-kT0dB)/10)-1)</f>
        <v>6953.2275822106776</v>
      </c>
      <c r="G19" s="93">
        <f>IF(UsePreamp,10^(Preamp!AD20/10),1)</f>
        <v>63.795787093607395</v>
      </c>
      <c r="H19" s="94">
        <f t="shared" si="2"/>
        <v>1.7085122206180822E-8</v>
      </c>
      <c r="I19" s="94">
        <f t="shared" si="20"/>
        <v>2.6520504069056134E-9</v>
      </c>
      <c r="J19" s="94">
        <f t="shared" si="21"/>
        <v>3.5729572452000216E-10</v>
      </c>
      <c r="K19" s="95">
        <f t="shared" si="3"/>
        <v>438.44706513777828</v>
      </c>
      <c r="L19" s="93">
        <f t="shared" si="4"/>
        <v>63.795787093607402</v>
      </c>
      <c r="M19" s="94">
        <f t="shared" si="22"/>
        <v>1.378622151902502E-9</v>
      </c>
      <c r="N19" s="94">
        <f t="shared" si="23"/>
        <v>1.3786221519025022E-9</v>
      </c>
      <c r="O19" s="94">
        <f t="shared" si="24"/>
        <v>1.5363793406078316E-8</v>
      </c>
      <c r="P19" s="91">
        <f t="shared" si="5"/>
        <v>1.0644853444746147</v>
      </c>
      <c r="Q19" s="94">
        <f t="shared" si="6"/>
        <v>6.4485344474614736E-2</v>
      </c>
      <c r="R19" s="94">
        <f t="shared" si="7"/>
        <v>2.0276318724549134E-13</v>
      </c>
      <c r="S19" s="91">
        <v>-1</v>
      </c>
      <c r="T19" s="93">
        <f>FieldFox!AD19</f>
        <v>5.5</v>
      </c>
      <c r="U19" s="93">
        <f>FieldFox!AC19</f>
        <v>4.15313339204108</v>
      </c>
      <c r="V19" s="93">
        <f>FieldFox!AE19</f>
        <v>1.34686660795892</v>
      </c>
      <c r="W19" s="94">
        <f t="shared" si="8"/>
        <v>1.8054045564434553E-4</v>
      </c>
      <c r="X19" s="94">
        <f t="shared" si="9"/>
        <v>2.0776287139402395E-4</v>
      </c>
      <c r="Y19" s="94">
        <f t="shared" si="10"/>
        <v>3.6483255613224393E-4</v>
      </c>
      <c r="Z19" s="91">
        <f>IF(UsePreamp,Preamp!AF20,FieldFox!D19)</f>
        <v>0.3981071705534972</v>
      </c>
      <c r="AA19" s="91">
        <f t="shared" si="11"/>
        <v>0.40853898265363492</v>
      </c>
      <c r="AB19" s="91">
        <f>'User Cal. Noise Std'!AC20</f>
        <v>0.22</v>
      </c>
      <c r="AC19" s="91">
        <f>'User Cal. Noise Std'!AD20</f>
        <v>0.12</v>
      </c>
      <c r="AD19" s="91">
        <f>IF(UsePreamp,Preamp!AH20,0)</f>
        <v>0</v>
      </c>
      <c r="AE19" s="91">
        <f>DUT!AG20</f>
        <v>0.31622776601683794</v>
      </c>
      <c r="AF19" s="94">
        <f t="shared" si="12"/>
        <v>1.0994731758557234E-9</v>
      </c>
      <c r="AG19" s="94">
        <f t="shared" si="13"/>
        <v>0</v>
      </c>
      <c r="AH19" s="91">
        <f t="shared" si="25"/>
        <v>1.0994731758557234E-9</v>
      </c>
      <c r="AI19" s="94">
        <f t="shared" si="14"/>
        <v>0</v>
      </c>
      <c r="AJ19" s="94">
        <f t="shared" si="15"/>
        <v>0</v>
      </c>
      <c r="AK19" s="91">
        <f t="shared" si="26"/>
        <v>0</v>
      </c>
      <c r="AL19" s="94">
        <f t="shared" si="16"/>
        <v>5.0967812583506299E-13</v>
      </c>
      <c r="AM19" s="94">
        <f t="shared" si="27"/>
        <v>0</v>
      </c>
      <c r="AN19" s="91">
        <f t="shared" si="28"/>
        <v>5.0967812583506299E-13</v>
      </c>
      <c r="AO19" s="94">
        <f t="shared" si="17"/>
        <v>2.2890066402996384E-13</v>
      </c>
      <c r="AP19" s="94">
        <f t="shared" si="29"/>
        <v>7.0899906485654985E-11</v>
      </c>
      <c r="AQ19" s="94">
        <f t="shared" si="30"/>
        <v>7.0900275988099055E-11</v>
      </c>
      <c r="AR19" s="94">
        <f t="shared" si="18"/>
        <v>1.3035311247175446E-13</v>
      </c>
      <c r="AS19" s="94">
        <f>B19*(10^('User Cal. Noise Std'!AB20/(ENRconf*10))-1)*R19</f>
        <v>1.1472222842156852E-11</v>
      </c>
      <c r="AT19" s="91">
        <f t="shared" si="31"/>
        <v>7.1824353779582355E-11</v>
      </c>
      <c r="AU19" s="93">
        <f>NseMeas!H19</f>
        <v>438.4470651377784</v>
      </c>
      <c r="AV19" s="93">
        <f>nSD*NseMeas!X19*AT19</f>
        <v>0.45685000892546923</v>
      </c>
      <c r="AW19" s="93">
        <f t="shared" si="32"/>
        <v>2.7228505297223777E-3</v>
      </c>
      <c r="AX19" s="93">
        <f>nSD*NseMeas!X19*AL19</f>
        <v>3.2418872441433181E-3</v>
      </c>
      <c r="AY19" s="93">
        <f t="shared" si="33"/>
        <v>1.932783692251271E-5</v>
      </c>
      <c r="AZ19" s="93">
        <f>nSD*NseMeas!X19*AM19</f>
        <v>0</v>
      </c>
      <c r="BA19" s="93">
        <f t="shared" si="34"/>
        <v>0</v>
      </c>
      <c r="BB19" s="93">
        <f>nSD*NseMeas!X19*AO19</f>
        <v>1.4559583887946103E-3</v>
      </c>
      <c r="BC19" s="93">
        <f t="shared" si="35"/>
        <v>8.6803021450102222E-6</v>
      </c>
      <c r="BD19" s="93">
        <f>nSD*NseMeas!X19*AP19</f>
        <v>0.45096991767149258</v>
      </c>
      <c r="BE19" s="93">
        <f t="shared" si="36"/>
        <v>2.6878157133072068E-3</v>
      </c>
      <c r="BF19" s="93">
        <f>nSD*NseMeas!X19*AR19</f>
        <v>8.2913131079381363E-4</v>
      </c>
      <c r="BG19" s="93">
        <f t="shared" si="37"/>
        <v>4.9432136574533653E-6</v>
      </c>
      <c r="BH19" s="91">
        <f t="shared" si="38"/>
        <v>3.6492610846826545E-3</v>
      </c>
      <c r="BI19" s="93">
        <f t="shared" si="39"/>
        <v>2.1756556628326961E-5</v>
      </c>
    </row>
    <row r="20" spans="1:61">
      <c r="A20" s="91">
        <f t="shared" si="19"/>
        <v>8.0200000000000031</v>
      </c>
      <c r="B20" s="92">
        <f>T_0*(1+10^('User Cal. Noise Std'!AA21/10))</f>
        <v>4886.1902581372296</v>
      </c>
      <c r="C20" s="92">
        <f t="shared" si="0"/>
        <v>296</v>
      </c>
      <c r="D20" s="93">
        <f t="shared" si="1"/>
        <v>296</v>
      </c>
      <c r="E20" s="92">
        <f>IF(UsePreamp,T_0*(10^(Preamp!AE21/10)-1),0)</f>
        <v>438.4470651377784</v>
      </c>
      <c r="F20" s="92">
        <f>T_0*(10^((FieldFox!B20-kT0dB)/10)-1)</f>
        <v>5463.5001790836332</v>
      </c>
      <c r="G20" s="93">
        <f>IF(UsePreamp,10^(Preamp!AD21/10),1)</f>
        <v>65.844575179264368</v>
      </c>
      <c r="H20" s="94">
        <f t="shared" si="2"/>
        <v>1.7549376488046906E-8</v>
      </c>
      <c r="I20" s="94">
        <f t="shared" si="20"/>
        <v>2.6527896685964927E-9</v>
      </c>
      <c r="J20" s="94">
        <f t="shared" si="21"/>
        <v>2.8387090431657022E-10</v>
      </c>
      <c r="K20" s="95">
        <f t="shared" si="3"/>
        <v>438.44706513777845</v>
      </c>
      <c r="L20" s="93">
        <f t="shared" si="4"/>
        <v>65.844575179264353</v>
      </c>
      <c r="M20" s="94">
        <f t="shared" si="22"/>
        <v>1.4228963080516574E-9</v>
      </c>
      <c r="N20" s="94">
        <f t="shared" si="23"/>
        <v>1.4228963080516572E-9</v>
      </c>
      <c r="O20" s="94">
        <f t="shared" si="24"/>
        <v>1.5857198351998677E-8</v>
      </c>
      <c r="P20" s="91">
        <f t="shared" si="5"/>
        <v>1.0644853444746147</v>
      </c>
      <c r="Q20" s="94">
        <f t="shared" si="6"/>
        <v>6.4485344474614736E-2</v>
      </c>
      <c r="R20" s="94">
        <f t="shared" si="7"/>
        <v>2.0927488372521113E-13</v>
      </c>
      <c r="S20" s="91">
        <v>-1</v>
      </c>
      <c r="T20" s="93">
        <f>FieldFox!AD20</f>
        <v>5.5</v>
      </c>
      <c r="U20" s="93">
        <f>FieldFox!AC20</f>
        <v>4.3970423958951947</v>
      </c>
      <c r="V20" s="93">
        <f>FieldFox!AE20</f>
        <v>1.1029576041048048</v>
      </c>
      <c r="W20" s="94">
        <f t="shared" si="8"/>
        <v>1.8054045564434553E-4</v>
      </c>
      <c r="X20" s="94">
        <f t="shared" si="9"/>
        <v>2.0191824014176358E-4</v>
      </c>
      <c r="Y20" s="94">
        <f t="shared" si="10"/>
        <v>4.0315910215023699E-4</v>
      </c>
      <c r="Z20" s="91">
        <f>IF(UsePreamp,Preamp!AF21,FieldFox!D20)</f>
        <v>0.3981071705534972</v>
      </c>
      <c r="AA20" s="91">
        <f t="shared" si="11"/>
        <v>0.40853898265363492</v>
      </c>
      <c r="AB20" s="91">
        <f>'User Cal. Noise Std'!AC21</f>
        <v>0.22</v>
      </c>
      <c r="AC20" s="91">
        <f>'User Cal. Noise Std'!AD21</f>
        <v>0.12</v>
      </c>
      <c r="AD20" s="91">
        <f>IF(UsePreamp,Preamp!AH21,0)</f>
        <v>0</v>
      </c>
      <c r="AE20" s="91">
        <f>DUT!AG21</f>
        <v>0.31622776601683794</v>
      </c>
      <c r="AF20" s="94">
        <f t="shared" si="12"/>
        <v>1.1347825222219247E-9</v>
      </c>
      <c r="AG20" s="94">
        <f t="shared" si="13"/>
        <v>0</v>
      </c>
      <c r="AH20" s="91">
        <f t="shared" si="25"/>
        <v>1.1347825222219247E-9</v>
      </c>
      <c r="AI20" s="94">
        <f t="shared" si="14"/>
        <v>0</v>
      </c>
      <c r="AJ20" s="94">
        <f t="shared" si="15"/>
        <v>0</v>
      </c>
      <c r="AK20" s="91">
        <f t="shared" si="26"/>
        <v>0</v>
      </c>
      <c r="AL20" s="94">
        <f t="shared" si="16"/>
        <v>5.0982019911999308E-13</v>
      </c>
      <c r="AM20" s="94">
        <f t="shared" si="27"/>
        <v>0</v>
      </c>
      <c r="AN20" s="91">
        <f t="shared" si="28"/>
        <v>5.0982019911999308E-13</v>
      </c>
      <c r="AO20" s="94">
        <f t="shared" si="17"/>
        <v>2.2850634700639849E-13</v>
      </c>
      <c r="AP20" s="94">
        <f t="shared" si="29"/>
        <v>7.3176841849252963E-11</v>
      </c>
      <c r="AQ20" s="94">
        <f t="shared" si="30"/>
        <v>7.3177198622120003E-11</v>
      </c>
      <c r="AR20" s="94">
        <f t="shared" si="18"/>
        <v>1.1444513891084428E-13</v>
      </c>
      <c r="AS20" s="94">
        <f>B20*(10^('User Cal. Noise Std'!AB21/(ENRconf*10))-1)*R20</f>
        <v>1.1840650830050866E-11</v>
      </c>
      <c r="AT20" s="91">
        <f t="shared" si="31"/>
        <v>7.4130806177901754E-11</v>
      </c>
      <c r="AU20" s="93">
        <f>NseMeas!H20</f>
        <v>438.4470651377784</v>
      </c>
      <c r="AV20" s="93">
        <f>nSD*NseMeas!X20*AT20</f>
        <v>0.45684895267601672</v>
      </c>
      <c r="AW20" s="93">
        <f t="shared" si="32"/>
        <v>2.7228442363920143E-3</v>
      </c>
      <c r="AX20" s="93">
        <f>nSD*NseMeas!X20*AL20</f>
        <v>3.1418898030341046E-3</v>
      </c>
      <c r="AY20" s="93">
        <f t="shared" si="33"/>
        <v>1.8731662558023169E-5</v>
      </c>
      <c r="AZ20" s="93">
        <f>nSD*NseMeas!X20*AM20</f>
        <v>0</v>
      </c>
      <c r="BA20" s="93">
        <f t="shared" si="34"/>
        <v>0</v>
      </c>
      <c r="BB20" s="93">
        <f>nSD*NseMeas!X20*AO20</f>
        <v>1.4082254152095665E-3</v>
      </c>
      <c r="BC20" s="93">
        <f t="shared" si="35"/>
        <v>8.3957224241081381E-6</v>
      </c>
      <c r="BD20" s="93">
        <f>nSD*NseMeas!X20*AP20</f>
        <v>0.45096991767149258</v>
      </c>
      <c r="BE20" s="93">
        <f t="shared" si="36"/>
        <v>2.6878157133072068E-3</v>
      </c>
      <c r="BF20" s="93">
        <f>nSD*NseMeas!X20*AR20</f>
        <v>7.0529574067772997E-4</v>
      </c>
      <c r="BG20" s="93">
        <f t="shared" si="37"/>
        <v>4.204916385403838E-6</v>
      </c>
      <c r="BH20" s="91">
        <f t="shared" si="38"/>
        <v>3.5145429910971339E-3</v>
      </c>
      <c r="BI20" s="93">
        <f t="shared" si="39"/>
        <v>2.0953381767985091E-5</v>
      </c>
    </row>
    <row r="21" spans="1:61">
      <c r="A21" s="91">
        <f t="shared" si="19"/>
        <v>8.5480000000000036</v>
      </c>
      <c r="B21" s="92">
        <f>T_0*(1+10^('User Cal. Noise Std'!AA22/10))</f>
        <v>4886.1902581372296</v>
      </c>
      <c r="C21" s="92">
        <f t="shared" si="0"/>
        <v>296</v>
      </c>
      <c r="D21" s="93">
        <f t="shared" si="1"/>
        <v>296</v>
      </c>
      <c r="E21" s="92">
        <f>IF(UsePreamp,T_0*(10^(Preamp!AE22/10)-1),0)</f>
        <v>438.4470651377784</v>
      </c>
      <c r="F21" s="92">
        <f>T_0*(10^((FieldFox!B21-kT0dB)/10)-1)</f>
        <v>5463.5001790836332</v>
      </c>
      <c r="G21" s="93">
        <f>IF(UsePreamp,10^(Preamp!AD22/10),1)</f>
        <v>67.95915965698984</v>
      </c>
      <c r="H21" s="94">
        <f t="shared" si="2"/>
        <v>1.8104323039714789E-8</v>
      </c>
      <c r="I21" s="94">
        <f t="shared" si="20"/>
        <v>2.7293355141509309E-9</v>
      </c>
      <c r="J21" s="94">
        <f t="shared" si="21"/>
        <v>2.8387090431657022E-10</v>
      </c>
      <c r="K21" s="95">
        <f t="shared" si="3"/>
        <v>438.44706513777828</v>
      </c>
      <c r="L21" s="93">
        <f t="shared" si="4"/>
        <v>67.959159656989854</v>
      </c>
      <c r="M21" s="94">
        <f t="shared" si="22"/>
        <v>1.4685923192754708E-9</v>
      </c>
      <c r="N21" s="94">
        <f t="shared" si="23"/>
        <v>1.4685923192754708E-9</v>
      </c>
      <c r="O21" s="94">
        <f t="shared" si="24"/>
        <v>1.6366448892442744E-8</v>
      </c>
      <c r="P21" s="91">
        <f t="shared" si="5"/>
        <v>1.0644853444746147</v>
      </c>
      <c r="Q21" s="94">
        <f t="shared" si="6"/>
        <v>6.4485344474614736E-2</v>
      </c>
      <c r="R21" s="94">
        <f t="shared" si="7"/>
        <v>2.1599570194749192E-13</v>
      </c>
      <c r="S21" s="91">
        <v>-1</v>
      </c>
      <c r="T21" s="93">
        <f>FieldFox!AD21</f>
        <v>5.5</v>
      </c>
      <c r="U21" s="93">
        <f>FieldFox!AC21</f>
        <v>4.42423830040907</v>
      </c>
      <c r="V21" s="93">
        <f>FieldFox!AE21</f>
        <v>1.07576169959093</v>
      </c>
      <c r="W21" s="94">
        <f t="shared" si="8"/>
        <v>1.8054045564434553E-4</v>
      </c>
      <c r="X21" s="94">
        <f t="shared" si="9"/>
        <v>2.0129668523133544E-4</v>
      </c>
      <c r="Y21" s="94">
        <f t="shared" si="10"/>
        <v>4.0822334774071414E-4</v>
      </c>
      <c r="Z21" s="91">
        <f>IF(UsePreamp,Preamp!AF22,FieldFox!D21)</f>
        <v>0.3981071705534972</v>
      </c>
      <c r="AA21" s="91">
        <f t="shared" si="11"/>
        <v>0.40853898265363492</v>
      </c>
      <c r="AB21" s="91">
        <f>'User Cal. Noise Std'!AC22</f>
        <v>0.22</v>
      </c>
      <c r="AC21" s="91">
        <f>'User Cal. Noise Std'!AD22</f>
        <v>0.12</v>
      </c>
      <c r="AD21" s="91">
        <f>IF(UsePreamp,Preamp!AH22,0)</f>
        <v>0</v>
      </c>
      <c r="AE21" s="91">
        <f>DUT!AG22</f>
        <v>0.31622776601683794</v>
      </c>
      <c r="AF21" s="94">
        <f t="shared" si="12"/>
        <v>1.1712258207100945E-9</v>
      </c>
      <c r="AG21" s="94">
        <f t="shared" si="13"/>
        <v>0</v>
      </c>
      <c r="AH21" s="91">
        <f t="shared" si="25"/>
        <v>1.1712258207100945E-9</v>
      </c>
      <c r="AI21" s="94">
        <f t="shared" si="14"/>
        <v>0</v>
      </c>
      <c r="AJ21" s="94">
        <f t="shared" si="15"/>
        <v>0</v>
      </c>
      <c r="AK21" s="91">
        <f t="shared" si="26"/>
        <v>0</v>
      </c>
      <c r="AL21" s="94">
        <f t="shared" si="16"/>
        <v>5.2453098402855254E-13</v>
      </c>
      <c r="AM21" s="94">
        <f t="shared" si="27"/>
        <v>0</v>
      </c>
      <c r="AN21" s="91">
        <f t="shared" si="28"/>
        <v>5.2453098402855254E-13</v>
      </c>
      <c r="AO21" s="94">
        <f t="shared" si="17"/>
        <v>2.3500653422769455E-13</v>
      </c>
      <c r="AP21" s="94">
        <f t="shared" si="29"/>
        <v>7.55269005060538E-11</v>
      </c>
      <c r="AQ21" s="94">
        <f t="shared" si="30"/>
        <v>7.5527266123715079E-11</v>
      </c>
      <c r="AR21" s="94">
        <f t="shared" si="18"/>
        <v>1.1588273088629422E-13</v>
      </c>
      <c r="AS21" s="94">
        <f>B21*(10^('User Cal. Noise Std'!AB22/(ENRconf*10))-1)*R21</f>
        <v>1.2220910804137204E-11</v>
      </c>
      <c r="AT21" s="91">
        <f t="shared" si="31"/>
        <v>7.6511483782277293E-11</v>
      </c>
      <c r="AU21" s="93">
        <f>NseMeas!H21</f>
        <v>438.4470651377784</v>
      </c>
      <c r="AV21" s="93">
        <f>nSD*NseMeas!X21*AT21</f>
        <v>0.45684884870194903</v>
      </c>
      <c r="AW21" s="93">
        <f t="shared" si="32"/>
        <v>2.7228436168944465E-3</v>
      </c>
      <c r="AX21" s="93">
        <f>nSD*NseMeas!X21*AL21</f>
        <v>3.1319661352254623E-3</v>
      </c>
      <c r="AY21" s="93">
        <f t="shared" si="33"/>
        <v>1.8672498676614308E-5</v>
      </c>
      <c r="AZ21" s="93">
        <f>nSD*NseMeas!X21*AM21</f>
        <v>0</v>
      </c>
      <c r="BA21" s="93">
        <f t="shared" si="34"/>
        <v>0</v>
      </c>
      <c r="BB21" s="93">
        <f>nSD*NseMeas!X21*AO21</f>
        <v>1.403220265664568E-3</v>
      </c>
      <c r="BC21" s="93">
        <f t="shared" si="35"/>
        <v>8.3658821686317624E-6</v>
      </c>
      <c r="BD21" s="93">
        <f>nSD*NseMeas!X21*AP21</f>
        <v>0.45096991767149258</v>
      </c>
      <c r="BE21" s="93">
        <f t="shared" si="36"/>
        <v>2.6878157133072068E-3</v>
      </c>
      <c r="BF21" s="93">
        <f>nSD*NseMeas!X21*AR21</f>
        <v>6.9193393687790755E-4</v>
      </c>
      <c r="BG21" s="93">
        <f t="shared" si="37"/>
        <v>4.1252544257299953E-6</v>
      </c>
      <c r="BH21" s="91">
        <f t="shared" si="38"/>
        <v>3.5010015080222715E-3</v>
      </c>
      <c r="BI21" s="93">
        <f t="shared" si="39"/>
        <v>2.0872648885935584E-5</v>
      </c>
    </row>
    <row r="22" spans="1:61">
      <c r="A22" s="91">
        <f t="shared" si="19"/>
        <v>9.0760000000000041</v>
      </c>
      <c r="B22" s="92">
        <f>T_0*(1+10^('User Cal. Noise Std'!AA23/10))</f>
        <v>4886.1902581372296</v>
      </c>
      <c r="C22" s="92">
        <f t="shared" si="0"/>
        <v>296</v>
      </c>
      <c r="D22" s="93">
        <f t="shared" si="1"/>
        <v>296</v>
      </c>
      <c r="E22" s="92">
        <f>IF(UsePreamp,T_0*(10^(Preamp!AE23/10)-1),0)</f>
        <v>438.4470651377784</v>
      </c>
      <c r="F22" s="92">
        <f>T_0*(10^((FieldFox!B22-kT0dB)/10)-1)</f>
        <v>5463.5001790836332</v>
      </c>
      <c r="G22" s="93">
        <f>IF(UsePreamp,10^(Preamp!AD23/10),1)</f>
        <v>70.141653563871174</v>
      </c>
      <c r="H22" s="94">
        <f t="shared" si="2"/>
        <v>1.8677091581439227E-8</v>
      </c>
      <c r="I22" s="94">
        <f t="shared" si="20"/>
        <v>2.8083396131970646E-9</v>
      </c>
      <c r="J22" s="94">
        <f t="shared" si="21"/>
        <v>2.8387090431657022E-10</v>
      </c>
      <c r="K22" s="95">
        <f t="shared" si="3"/>
        <v>438.4470651377784</v>
      </c>
      <c r="L22" s="93">
        <f t="shared" si="4"/>
        <v>70.141653563871174</v>
      </c>
      <c r="M22" s="94">
        <f t="shared" si="22"/>
        <v>1.5157558481461781E-9</v>
      </c>
      <c r="N22" s="94">
        <f t="shared" si="23"/>
        <v>1.5157558481461781E-9</v>
      </c>
      <c r="O22" s="94">
        <f t="shared" si="24"/>
        <v>1.6892053905296479E-8</v>
      </c>
      <c r="P22" s="91">
        <f t="shared" si="5"/>
        <v>1.0644853444746147</v>
      </c>
      <c r="Q22" s="94">
        <f t="shared" si="6"/>
        <v>6.4485344474614736E-2</v>
      </c>
      <c r="R22" s="94">
        <f t="shared" si="7"/>
        <v>2.229323578124599E-13</v>
      </c>
      <c r="S22" s="91">
        <v>-1</v>
      </c>
      <c r="T22" s="93">
        <f>FieldFox!AD22</f>
        <v>5.5</v>
      </c>
      <c r="U22" s="93">
        <f>FieldFox!AC22</f>
        <v>4.4509360497825794</v>
      </c>
      <c r="V22" s="93">
        <f>FieldFox!AE22</f>
        <v>1.0490639502174206</v>
      </c>
      <c r="W22" s="94">
        <f t="shared" si="8"/>
        <v>1.8054045564434553E-4</v>
      </c>
      <c r="X22" s="94">
        <f t="shared" si="9"/>
        <v>2.0069206504242154E-4</v>
      </c>
      <c r="Y22" s="94">
        <f t="shared" si="10"/>
        <v>4.1338517459754654E-4</v>
      </c>
      <c r="Z22" s="91">
        <f>IF(UsePreamp,Preamp!AF23,FieldFox!D22)</f>
        <v>0.3981071705534972</v>
      </c>
      <c r="AA22" s="91">
        <f t="shared" si="11"/>
        <v>0.40853898265363492</v>
      </c>
      <c r="AB22" s="91">
        <f>'User Cal. Noise Std'!AC23</f>
        <v>0.22</v>
      </c>
      <c r="AC22" s="91">
        <f>'User Cal. Noise Std'!AD23</f>
        <v>0.12</v>
      </c>
      <c r="AD22" s="91">
        <f>IF(UsePreamp,Preamp!AH23,0)</f>
        <v>0</v>
      </c>
      <c r="AE22" s="91">
        <f>DUT!AG23</f>
        <v>0.31622776601683794</v>
      </c>
      <c r="AF22" s="94">
        <f t="shared" si="12"/>
        <v>1.2088394879505921E-9</v>
      </c>
      <c r="AG22" s="94">
        <f t="shared" si="13"/>
        <v>0</v>
      </c>
      <c r="AH22" s="91">
        <f t="shared" si="25"/>
        <v>1.2088394879505921E-9</v>
      </c>
      <c r="AI22" s="94">
        <f t="shared" si="14"/>
        <v>0</v>
      </c>
      <c r="AJ22" s="94">
        <f t="shared" si="15"/>
        <v>0</v>
      </c>
      <c r="AK22" s="91">
        <f t="shared" si="26"/>
        <v>0</v>
      </c>
      <c r="AL22" s="94">
        <f t="shared" si="16"/>
        <v>5.3971420265451521E-13</v>
      </c>
      <c r="AM22" s="94">
        <f t="shared" si="27"/>
        <v>0</v>
      </c>
      <c r="AN22" s="91">
        <f t="shared" si="28"/>
        <v>5.3971420265451521E-13</v>
      </c>
      <c r="AO22" s="94">
        <f t="shared" si="17"/>
        <v>2.4171325910922789E-13</v>
      </c>
      <c r="AP22" s="94">
        <f t="shared" si="29"/>
        <v>7.7952430795010828E-11</v>
      </c>
      <c r="AQ22" s="94">
        <f t="shared" si="30"/>
        <v>7.7952805543806962E-11</v>
      </c>
      <c r="AR22" s="94">
        <f t="shared" si="18"/>
        <v>1.173480233440688E-13</v>
      </c>
      <c r="AS22" s="94">
        <f>B22*(10^('User Cal. Noise Std'!AB23/(ENRconf*10))-1)*R22</f>
        <v>1.2613382746126942E-11</v>
      </c>
      <c r="AT22" s="91">
        <f t="shared" si="31"/>
        <v>7.8968616414560565E-11</v>
      </c>
      <c r="AU22" s="93">
        <f>NseMeas!H22</f>
        <v>438.4470651377784</v>
      </c>
      <c r="AV22" s="93">
        <f>nSD*NseMeas!X22*AT22</f>
        <v>0.45684874839573775</v>
      </c>
      <c r="AW22" s="93">
        <f t="shared" si="32"/>
        <v>2.7228430192512256E-3</v>
      </c>
      <c r="AX22" s="93">
        <f>nSD*NseMeas!X22*AL22</f>
        <v>3.1223512474843822E-3</v>
      </c>
      <c r="AY22" s="93">
        <f t="shared" si="33"/>
        <v>1.8615175708857969E-5</v>
      </c>
      <c r="AZ22" s="93">
        <f>nSD*NseMeas!X22*AM22</f>
        <v>0</v>
      </c>
      <c r="BA22" s="93">
        <f t="shared" si="34"/>
        <v>0</v>
      </c>
      <c r="BB22" s="93">
        <f>nSD*NseMeas!X22*AO22</f>
        <v>1.3983580428331341E-3</v>
      </c>
      <c r="BC22" s="93">
        <f t="shared" si="35"/>
        <v>8.3368940296372271E-6</v>
      </c>
      <c r="BD22" s="93">
        <f>nSD*NseMeas!X22*AP22</f>
        <v>0.45096991767149264</v>
      </c>
      <c r="BE22" s="93">
        <f t="shared" si="36"/>
        <v>2.6878157133072068E-3</v>
      </c>
      <c r="BF22" s="93">
        <f>nSD*NseMeas!X22*AR22</f>
        <v>6.7888105459533866E-4</v>
      </c>
      <c r="BG22" s="93">
        <f t="shared" si="37"/>
        <v>4.0474342280499339E-6</v>
      </c>
      <c r="BH22" s="91">
        <f t="shared" si="38"/>
        <v>3.4878879017124203E-3</v>
      </c>
      <c r="BI22" s="93">
        <f t="shared" si="39"/>
        <v>2.0794466959370508E-5</v>
      </c>
    </row>
    <row r="23" spans="1:61">
      <c r="A23" s="91">
        <f t="shared" si="19"/>
        <v>9.6040000000000045</v>
      </c>
      <c r="B23" s="92">
        <f>T_0*(1+10^('User Cal. Noise Std'!AA24/10))</f>
        <v>4886.1902581372296</v>
      </c>
      <c r="C23" s="92">
        <f t="shared" si="0"/>
        <v>296</v>
      </c>
      <c r="D23" s="93">
        <f t="shared" si="1"/>
        <v>296</v>
      </c>
      <c r="E23" s="92">
        <f>IF(UsePreamp,T_0*(10^(Preamp!AE24/10)-1),0)</f>
        <v>438.4470651377784</v>
      </c>
      <c r="F23" s="92">
        <f>T_0*(10^((FieldFox!B23-kT0dB)/10)-1)</f>
        <v>5463.5001790836332</v>
      </c>
      <c r="G23" s="93">
        <f>IF(UsePreamp,10^(Preamp!AD24/10),1)</f>
        <v>72.394237796730934</v>
      </c>
      <c r="H23" s="94">
        <f t="shared" si="2"/>
        <v>1.9268254462626919E-8</v>
      </c>
      <c r="I23" s="94">
        <f t="shared" si="20"/>
        <v>2.889880912021084E-9</v>
      </c>
      <c r="J23" s="94">
        <f t="shared" si="21"/>
        <v>2.8387090431657022E-10</v>
      </c>
      <c r="K23" s="95">
        <f t="shared" si="3"/>
        <v>438.4470651377784</v>
      </c>
      <c r="L23" s="93">
        <f t="shared" si="4"/>
        <v>72.394237796730934</v>
      </c>
      <c r="M23" s="94">
        <f t="shared" si="22"/>
        <v>1.5644340236797777E-9</v>
      </c>
      <c r="N23" s="94">
        <f t="shared" si="23"/>
        <v>1.5644340236797777E-9</v>
      </c>
      <c r="O23" s="94">
        <f t="shared" si="24"/>
        <v>1.7434538610950573E-8</v>
      </c>
      <c r="P23" s="91">
        <f t="shared" si="5"/>
        <v>1.0644853444746147</v>
      </c>
      <c r="Q23" s="94">
        <f t="shared" si="6"/>
        <v>6.4485344474614736E-2</v>
      </c>
      <c r="R23" s="94">
        <f t="shared" si="7"/>
        <v>2.3009178289994113E-13</v>
      </c>
      <c r="S23" s="91">
        <v>-1</v>
      </c>
      <c r="T23" s="93">
        <f>FieldFox!AD23</f>
        <v>5.5</v>
      </c>
      <c r="U23" s="93">
        <f>FieldFox!AC23</f>
        <v>4.4771362353679089</v>
      </c>
      <c r="V23" s="93">
        <f>FieldFox!AE23</f>
        <v>1.0228637646320906</v>
      </c>
      <c r="W23" s="94">
        <f t="shared" si="8"/>
        <v>1.8054045564434553E-4</v>
      </c>
      <c r="X23" s="94">
        <f t="shared" si="9"/>
        <v>2.0010397877908001E-4</v>
      </c>
      <c r="Y23" s="94">
        <f t="shared" si="10"/>
        <v>4.1864603468002291E-4</v>
      </c>
      <c r="Z23" s="91">
        <f>IF(UsePreamp,Preamp!AF24,FieldFox!D23)</f>
        <v>0.3981071705534972</v>
      </c>
      <c r="AA23" s="91">
        <f t="shared" si="11"/>
        <v>0.40853898265363492</v>
      </c>
      <c r="AB23" s="91">
        <f>'User Cal. Noise Std'!AC24</f>
        <v>0.22</v>
      </c>
      <c r="AC23" s="91">
        <f>'User Cal. Noise Std'!AD24</f>
        <v>0.12</v>
      </c>
      <c r="AD23" s="91">
        <f>IF(UsePreamp,Preamp!AH24,0)</f>
        <v>0</v>
      </c>
      <c r="AE23" s="91">
        <f>DUT!AG24</f>
        <v>0.31622776601683794</v>
      </c>
      <c r="AF23" s="94">
        <f t="shared" si="12"/>
        <v>1.2476611100860925E-9</v>
      </c>
      <c r="AG23" s="94">
        <f t="shared" si="13"/>
        <v>0</v>
      </c>
      <c r="AH23" s="91">
        <f t="shared" si="25"/>
        <v>1.2476611100860925E-9</v>
      </c>
      <c r="AI23" s="94">
        <f t="shared" si="14"/>
        <v>0</v>
      </c>
      <c r="AJ23" s="94">
        <f t="shared" si="15"/>
        <v>0</v>
      </c>
      <c r="AK23" s="91">
        <f t="shared" si="26"/>
        <v>0</v>
      </c>
      <c r="AL23" s="94">
        <f t="shared" si="16"/>
        <v>5.5538502710587792E-13</v>
      </c>
      <c r="AM23" s="94">
        <f t="shared" si="27"/>
        <v>0</v>
      </c>
      <c r="AN23" s="91">
        <f t="shared" si="28"/>
        <v>5.5538502710587792E-13</v>
      </c>
      <c r="AO23" s="94">
        <f t="shared" si="17"/>
        <v>2.4863320100473834E-13</v>
      </c>
      <c r="AP23" s="94">
        <f t="shared" si="29"/>
        <v>8.0455856471481897E-11</v>
      </c>
      <c r="AQ23" s="94">
        <f t="shared" si="30"/>
        <v>8.0456240646877961E-11</v>
      </c>
      <c r="AR23" s="94">
        <f t="shared" si="18"/>
        <v>1.1884142845316431E-13</v>
      </c>
      <c r="AS23" s="94">
        <f>B23*(10^('User Cal. Noise Std'!AB24/(ENRconf*10))-1)*R23</f>
        <v>1.3018458840762751E-11</v>
      </c>
      <c r="AT23" s="91">
        <f t="shared" si="31"/>
        <v>8.1504659409327157E-11</v>
      </c>
      <c r="AU23" s="93">
        <f>NseMeas!H23</f>
        <v>438.4470651377784</v>
      </c>
      <c r="AV23" s="93">
        <f>nSD*NseMeas!X23*AT23</f>
        <v>0.45684865161675042</v>
      </c>
      <c r="AW23" s="93">
        <f t="shared" si="32"/>
        <v>2.7228424426248773E-3</v>
      </c>
      <c r="AX23" s="93">
        <f>nSD*NseMeas!X23*AL23</f>
        <v>3.1130355319590099E-3</v>
      </c>
      <c r="AY23" s="93">
        <f t="shared" si="33"/>
        <v>1.855963637402033E-5</v>
      </c>
      <c r="AZ23" s="93">
        <f>nSD*NseMeas!X23*AM23</f>
        <v>0</v>
      </c>
      <c r="BA23" s="93">
        <f t="shared" si="34"/>
        <v>0</v>
      </c>
      <c r="BB23" s="93">
        <f>nSD*NseMeas!X23*AO23</f>
        <v>1.3936349584103966E-3</v>
      </c>
      <c r="BC23" s="93">
        <f t="shared" si="35"/>
        <v>8.3087354207068802E-6</v>
      </c>
      <c r="BD23" s="93">
        <f>nSD*NseMeas!X23*AP23</f>
        <v>0.45096991767149253</v>
      </c>
      <c r="BE23" s="93">
        <f t="shared" si="36"/>
        <v>2.6878157133072068E-3</v>
      </c>
      <c r="BF23" s="93">
        <f>nSD*NseMeas!X23*AR23</f>
        <v>6.6612812983331781E-4</v>
      </c>
      <c r="BG23" s="93">
        <f t="shared" si="37"/>
        <v>3.9714023514119853E-6</v>
      </c>
      <c r="BH23" s="91">
        <f t="shared" si="38"/>
        <v>3.4751885281086689E-3</v>
      </c>
      <c r="BI23" s="93">
        <f t="shared" si="39"/>
        <v>2.0718754642007941E-5</v>
      </c>
    </row>
    <row r="24" spans="1:61">
      <c r="A24" s="91">
        <f t="shared" si="19"/>
        <v>10.132000000000005</v>
      </c>
      <c r="B24" s="92">
        <f>T_0*(1+10^('User Cal. Noise Std'!AA25/10))</f>
        <v>4886.1902581372296</v>
      </c>
      <c r="C24" s="92">
        <f t="shared" si="0"/>
        <v>296</v>
      </c>
      <c r="D24" s="93">
        <f t="shared" si="1"/>
        <v>296</v>
      </c>
      <c r="E24" s="92">
        <f>IF(UsePreamp,T_0*(10^(Preamp!AE25/10)-1),0)</f>
        <v>438.4470651377784</v>
      </c>
      <c r="F24" s="92">
        <f>T_0*(10^((FieldFox!B24-kT0dB)/10)-1)</f>
        <v>5463.5001790836332</v>
      </c>
      <c r="G24" s="93">
        <f>IF(UsePreamp,10^(Preamp!AD25/10),1)</f>
        <v>74.719163291427463</v>
      </c>
      <c r="H24" s="94">
        <f t="shared" si="2"/>
        <v>1.9878402413563542E-8</v>
      </c>
      <c r="I24" s="94">
        <f t="shared" si="20"/>
        <v>2.9740408922523018E-9</v>
      </c>
      <c r="J24" s="94">
        <f t="shared" si="21"/>
        <v>2.8387090431657022E-10</v>
      </c>
      <c r="K24" s="95">
        <f t="shared" si="3"/>
        <v>438.44706513777828</v>
      </c>
      <c r="L24" s="93">
        <f t="shared" si="4"/>
        <v>74.719163291427478</v>
      </c>
      <c r="M24" s="94">
        <f t="shared" si="22"/>
        <v>1.6146754884305541E-9</v>
      </c>
      <c r="N24" s="94">
        <f t="shared" si="23"/>
        <v>1.6146754884305541E-9</v>
      </c>
      <c r="O24" s="94">
        <f t="shared" si="24"/>
        <v>1.7994445097136417E-8</v>
      </c>
      <c r="P24" s="91">
        <f t="shared" si="5"/>
        <v>1.0644853444746147</v>
      </c>
      <c r="Q24" s="94">
        <f t="shared" si="6"/>
        <v>6.4485344474614736E-2</v>
      </c>
      <c r="R24" s="94">
        <f t="shared" si="7"/>
        <v>2.374811313959676E-13</v>
      </c>
      <c r="S24" s="91">
        <v>-1</v>
      </c>
      <c r="T24" s="93">
        <f>FieldFox!AD24</f>
        <v>5.5</v>
      </c>
      <c r="U24" s="93">
        <f>FieldFox!AC24</f>
        <v>4.5028399144616369</v>
      </c>
      <c r="V24" s="93">
        <f>FieldFox!AE24</f>
        <v>0.99716008553836244</v>
      </c>
      <c r="W24" s="94">
        <f t="shared" si="8"/>
        <v>1.8054045564434553E-4</v>
      </c>
      <c r="X24" s="94">
        <f t="shared" si="9"/>
        <v>1.995320320030604E-4</v>
      </c>
      <c r="Y24" s="94">
        <f t="shared" si="10"/>
        <v>4.2400739965959996E-4</v>
      </c>
      <c r="Z24" s="91">
        <f>IF(UsePreamp,Preamp!AF25,FieldFox!D24)</f>
        <v>0.3981071705534972</v>
      </c>
      <c r="AA24" s="91">
        <f t="shared" si="11"/>
        <v>0.40853898265363492</v>
      </c>
      <c r="AB24" s="91">
        <f>'User Cal. Noise Std'!AC25</f>
        <v>0.22</v>
      </c>
      <c r="AC24" s="91">
        <f>'User Cal. Noise Std'!AD25</f>
        <v>0.12</v>
      </c>
      <c r="AD24" s="91">
        <f>IF(UsePreamp,Preamp!AH25,0)</f>
        <v>0</v>
      </c>
      <c r="AE24" s="91">
        <f>DUT!AG25</f>
        <v>0.31622776601683794</v>
      </c>
      <c r="AF24" s="94">
        <f t="shared" si="12"/>
        <v>1.2877294803302159E-9</v>
      </c>
      <c r="AG24" s="94">
        <f t="shared" si="13"/>
        <v>0</v>
      </c>
      <c r="AH24" s="91">
        <f t="shared" si="25"/>
        <v>1.2877294803302159E-9</v>
      </c>
      <c r="AI24" s="94">
        <f t="shared" si="14"/>
        <v>0</v>
      </c>
      <c r="AJ24" s="94">
        <f t="shared" si="15"/>
        <v>0</v>
      </c>
      <c r="AK24" s="91">
        <f t="shared" si="26"/>
        <v>0</v>
      </c>
      <c r="AL24" s="94">
        <f t="shared" si="16"/>
        <v>5.7155911673964621E-13</v>
      </c>
      <c r="AM24" s="94">
        <f t="shared" si="27"/>
        <v>0</v>
      </c>
      <c r="AN24" s="91">
        <f t="shared" si="28"/>
        <v>5.7155911673964621E-13</v>
      </c>
      <c r="AO24" s="94">
        <f t="shared" si="17"/>
        <v>2.5577325335880468E-13</v>
      </c>
      <c r="AP24" s="94">
        <f t="shared" si="29"/>
        <v>8.3039679129210595E-11</v>
      </c>
      <c r="AQ24" s="94">
        <f t="shared" si="30"/>
        <v>8.3040073036091365E-11</v>
      </c>
      <c r="AR24" s="94">
        <f t="shared" si="18"/>
        <v>1.2036336397828805E-13</v>
      </c>
      <c r="AS24" s="94">
        <f>B24*(10^('User Cal. Noise Std'!AB25/(ENRconf*10))-1)*R24</f>
        <v>1.3436543867716563E-11</v>
      </c>
      <c r="AT24" s="91">
        <f t="shared" si="31"/>
        <v>8.4122146953770602E-11</v>
      </c>
      <c r="AU24" s="93">
        <f>NseMeas!H24</f>
        <v>438.4470651377784</v>
      </c>
      <c r="AV24" s="93">
        <f>nSD*NseMeas!X24*AT24</f>
        <v>0.45684855823035458</v>
      </c>
      <c r="AW24" s="93">
        <f t="shared" si="32"/>
        <v>2.7228418862116572E-3</v>
      </c>
      <c r="AX24" s="93">
        <f>nSD*NseMeas!X24*AL24</f>
        <v>3.1040096797507887E-3</v>
      </c>
      <c r="AY24" s="93">
        <f t="shared" si="33"/>
        <v>1.8505825173431944E-5</v>
      </c>
      <c r="AZ24" s="93">
        <f>nSD*NseMeas!X24*AM24</f>
        <v>0</v>
      </c>
      <c r="BA24" s="93">
        <f t="shared" si="34"/>
        <v>0</v>
      </c>
      <c r="BB24" s="93">
        <f>nSD*NseMeas!X24*AO24</f>
        <v>1.3890473111090702E-3</v>
      </c>
      <c r="BC24" s="93">
        <f t="shared" si="35"/>
        <v>8.2813842771221714E-6</v>
      </c>
      <c r="BD24" s="93">
        <f>nSD*NseMeas!X24*AP24</f>
        <v>0.45096991767149253</v>
      </c>
      <c r="BE24" s="93">
        <f t="shared" si="36"/>
        <v>2.6878157133072068E-3</v>
      </c>
      <c r="BF24" s="93">
        <f>nSD*NseMeas!X24*AR24</f>
        <v>6.5366649911413816E-4</v>
      </c>
      <c r="BG24" s="93">
        <f t="shared" si="37"/>
        <v>3.8971071446486629E-6</v>
      </c>
      <c r="BH24" s="91">
        <f t="shared" si="38"/>
        <v>3.4628901825714984E-3</v>
      </c>
      <c r="BI24" s="93">
        <f t="shared" si="39"/>
        <v>2.0645433211478544E-5</v>
      </c>
    </row>
    <row r="25" spans="1:61">
      <c r="A25" s="91">
        <f t="shared" si="19"/>
        <v>10.660000000000005</v>
      </c>
      <c r="B25" s="92">
        <f>T_0*(1+10^('User Cal. Noise Std'!AA26/10))</f>
        <v>4886.1902581372296</v>
      </c>
      <c r="C25" s="92">
        <f t="shared" si="0"/>
        <v>296</v>
      </c>
      <c r="D25" s="93">
        <f t="shared" si="1"/>
        <v>296</v>
      </c>
      <c r="E25" s="92">
        <f>IF(UsePreamp,T_0*(10^(Preamp!AE26/10)-1),0)</f>
        <v>438.4470651377784</v>
      </c>
      <c r="F25" s="92">
        <f>T_0*(10^((FieldFox!B25-kT0dB)/10)-1)</f>
        <v>5463.5001790836332</v>
      </c>
      <c r="G25" s="93">
        <f>IF(UsePreamp,10^(Preamp!AD26/10),1)</f>
        <v>77.11875327214382</v>
      </c>
      <c r="H25" s="94">
        <f t="shared" si="2"/>
        <v>2.0508145135711821E-8</v>
      </c>
      <c r="I25" s="94">
        <f t="shared" si="20"/>
        <v>3.0609036522851679E-9</v>
      </c>
      <c r="J25" s="94">
        <f t="shared" si="21"/>
        <v>2.8387090431657022E-10</v>
      </c>
      <c r="K25" s="95">
        <f t="shared" si="3"/>
        <v>438.44706513777828</v>
      </c>
      <c r="L25" s="93">
        <f t="shared" si="4"/>
        <v>77.11875327214382</v>
      </c>
      <c r="M25" s="94">
        <f t="shared" si="22"/>
        <v>1.6665304470980419E-9</v>
      </c>
      <c r="N25" s="94">
        <f t="shared" si="23"/>
        <v>1.6665304470980423E-9</v>
      </c>
      <c r="O25" s="94">
        <f t="shared" si="24"/>
        <v>1.8572332860617211E-8</v>
      </c>
      <c r="P25" s="91">
        <f t="shared" si="5"/>
        <v>1.0644853444746147</v>
      </c>
      <c r="Q25" s="94">
        <f t="shared" si="6"/>
        <v>6.4485344474614736E-2</v>
      </c>
      <c r="R25" s="94">
        <f t="shared" si="7"/>
        <v>2.4510778724172874E-13</v>
      </c>
      <c r="S25" s="91">
        <v>-1</v>
      </c>
      <c r="T25" s="93">
        <f>FieldFox!AD25</f>
        <v>5.5</v>
      </c>
      <c r="U25" s="93">
        <f>FieldFox!AC25</f>
        <v>4.528048591262035</v>
      </c>
      <c r="V25" s="93">
        <f>FieldFox!AE25</f>
        <v>0.97195140873796559</v>
      </c>
      <c r="W25" s="94">
        <f t="shared" si="8"/>
        <v>1.8054045564434553E-4</v>
      </c>
      <c r="X25" s="94">
        <f t="shared" si="9"/>
        <v>1.9897583669475745E-4</v>
      </c>
      <c r="Y25" s="94">
        <f t="shared" si="10"/>
        <v>4.2947076138201873E-4</v>
      </c>
      <c r="Z25" s="91">
        <f>IF(UsePreamp,Preamp!AF26,FieldFox!D25)</f>
        <v>0.3981071705534972</v>
      </c>
      <c r="AA25" s="91">
        <f t="shared" si="11"/>
        <v>0.40853898265363492</v>
      </c>
      <c r="AB25" s="91">
        <f>'User Cal. Noise Std'!AC26</f>
        <v>0.22</v>
      </c>
      <c r="AC25" s="91">
        <f>'User Cal. Noise Std'!AD26</f>
        <v>0.12</v>
      </c>
      <c r="AD25" s="91">
        <f>IF(UsePreamp,Preamp!AH26,0)</f>
        <v>0</v>
      </c>
      <c r="AE25" s="91">
        <f>DUT!AG26</f>
        <v>0.31622776601683794</v>
      </c>
      <c r="AF25" s="94">
        <f t="shared" si="12"/>
        <v>1.32908463773236E-9</v>
      </c>
      <c r="AG25" s="94">
        <f t="shared" si="13"/>
        <v>0</v>
      </c>
      <c r="AH25" s="91">
        <f t="shared" si="25"/>
        <v>1.32908463773236E-9</v>
      </c>
      <c r="AI25" s="94">
        <f t="shared" si="14"/>
        <v>0</v>
      </c>
      <c r="AJ25" s="94">
        <f t="shared" si="15"/>
        <v>0</v>
      </c>
      <c r="AK25" s="91">
        <f t="shared" si="26"/>
        <v>0</v>
      </c>
      <c r="AL25" s="94">
        <f t="shared" si="16"/>
        <v>5.8825263380973398E-13</v>
      </c>
      <c r="AM25" s="94">
        <f t="shared" si="27"/>
        <v>0</v>
      </c>
      <c r="AN25" s="91">
        <f t="shared" si="28"/>
        <v>5.8825263380973398E-13</v>
      </c>
      <c r="AO25" s="94">
        <f t="shared" si="17"/>
        <v>2.6314053055638723E-13</v>
      </c>
      <c r="AP25" s="94">
        <f t="shared" si="29"/>
        <v>8.570648070008977E-11</v>
      </c>
      <c r="AQ25" s="94">
        <f t="shared" si="30"/>
        <v>8.5706884653064372E-11</v>
      </c>
      <c r="AR25" s="94">
        <f t="shared" si="18"/>
        <v>1.2191425341103959E-13</v>
      </c>
      <c r="AS25" s="94">
        <f>B25*(10^('User Cal. Noise Std'!AB26/(ENRconf*10))-1)*R25</f>
        <v>1.3868055606073081E-11</v>
      </c>
      <c r="AT25" s="91">
        <f t="shared" si="31"/>
        <v>8.6823694620035527E-11</v>
      </c>
      <c r="AU25" s="93">
        <f>NseMeas!H25</f>
        <v>438.4470651377784</v>
      </c>
      <c r="AV25" s="93">
        <f>nSD*NseMeas!X25*AT25</f>
        <v>0.45684846810763102</v>
      </c>
      <c r="AW25" s="93">
        <f t="shared" si="32"/>
        <v>2.7228413492434763E-3</v>
      </c>
      <c r="AX25" s="93">
        <f>nSD*NseMeas!X25*AL25</f>
        <v>3.0952646716123611E-3</v>
      </c>
      <c r="AY25" s="93">
        <f t="shared" si="33"/>
        <v>1.8453688336486E-5</v>
      </c>
      <c r="AZ25" s="93">
        <f>nSD*NseMeas!X25*AM25</f>
        <v>0</v>
      </c>
      <c r="BA25" s="93">
        <f t="shared" si="34"/>
        <v>0</v>
      </c>
      <c r="BB25" s="93">
        <f>nSD*NseMeas!X25*AO25</f>
        <v>1.3845914851678492E-3</v>
      </c>
      <c r="BC25" s="93">
        <f t="shared" si="35"/>
        <v>8.254819038505843E-6</v>
      </c>
      <c r="BD25" s="93">
        <f>nSD*NseMeas!X25*AP25</f>
        <v>0.4509699176714928</v>
      </c>
      <c r="BE25" s="93">
        <f t="shared" si="36"/>
        <v>2.6878157133072068E-3</v>
      </c>
      <c r="BF25" s="93">
        <f>nSD*NseMeas!X25*AR25</f>
        <v>6.4148778919235745E-4</v>
      </c>
      <c r="BG25" s="93">
        <f t="shared" si="37"/>
        <v>3.8244986865887659E-6</v>
      </c>
      <c r="BH25" s="91">
        <f t="shared" si="38"/>
        <v>3.4509800856878017E-3</v>
      </c>
      <c r="BI25" s="93">
        <f t="shared" si="39"/>
        <v>2.0574426474822589E-5</v>
      </c>
    </row>
    <row r="26" spans="1:61">
      <c r="A26" s="91">
        <f t="shared" si="19"/>
        <v>11.188000000000006</v>
      </c>
      <c r="B26" s="92">
        <f>T_0*(1+10^('User Cal. Noise Std'!AA27/10))</f>
        <v>4886.1902581372296</v>
      </c>
      <c r="C26" s="92">
        <f t="shared" si="0"/>
        <v>296</v>
      </c>
      <c r="D26" s="93">
        <f t="shared" si="1"/>
        <v>296</v>
      </c>
      <c r="E26" s="92">
        <f>IF(UsePreamp,T_0*(10^(Preamp!AE27/10)-1),0)</f>
        <v>438.4470651377784</v>
      </c>
      <c r="F26" s="92">
        <f>T_0*(10^((FieldFox!B26-kT0dB)/10)-1)</f>
        <v>5463.5001790836332</v>
      </c>
      <c r="G26" s="93">
        <f>IF(UsePreamp,10^(Preamp!AD27/10),1)</f>
        <v>79.595405572911815</v>
      </c>
      <c r="H26" s="94">
        <f t="shared" si="2"/>
        <v>2.1158111910966828E-8</v>
      </c>
      <c r="I26" s="94">
        <f t="shared" si="20"/>
        <v>3.1505559913161197E-9</v>
      </c>
      <c r="J26" s="94">
        <f t="shared" si="21"/>
        <v>2.8387090431657022E-10</v>
      </c>
      <c r="K26" s="95">
        <f t="shared" si="3"/>
        <v>438.44706513777857</v>
      </c>
      <c r="L26" s="93">
        <f t="shared" si="4"/>
        <v>79.595405572911801</v>
      </c>
      <c r="M26" s="94">
        <f t="shared" si="22"/>
        <v>1.720050716694986E-9</v>
      </c>
      <c r="N26" s="94">
        <f t="shared" si="23"/>
        <v>1.7200507166949852E-9</v>
      </c>
      <c r="O26" s="94">
        <f t="shared" si="24"/>
        <v>1.9168779366275271E-8</v>
      </c>
      <c r="P26" s="91">
        <f t="shared" si="5"/>
        <v>1.0644853444746147</v>
      </c>
      <c r="Q26" s="94">
        <f t="shared" si="6"/>
        <v>6.4485344474614736E-2</v>
      </c>
      <c r="R26" s="94">
        <f t="shared" si="7"/>
        <v>2.5297937151210943E-13</v>
      </c>
      <c r="S26" s="91">
        <v>-1</v>
      </c>
      <c r="T26" s="93">
        <f>FieldFox!AD26</f>
        <v>5.5</v>
      </c>
      <c r="U26" s="93">
        <f>FieldFox!AC26</f>
        <v>4.552764197563298</v>
      </c>
      <c r="V26" s="93">
        <f>FieldFox!AE26</f>
        <v>0.94723580243670225</v>
      </c>
      <c r="W26" s="94">
        <f t="shared" si="8"/>
        <v>1.8054045564434553E-4</v>
      </c>
      <c r="X26" s="94">
        <f t="shared" si="9"/>
        <v>1.9843501130401597E-4</v>
      </c>
      <c r="Y26" s="94">
        <f t="shared" si="10"/>
        <v>4.3503763233649744E-4</v>
      </c>
      <c r="Z26" s="91">
        <f>IF(UsePreamp,Preamp!AF27,FieldFox!D26)</f>
        <v>0.3981071705534972</v>
      </c>
      <c r="AA26" s="91">
        <f t="shared" si="11"/>
        <v>0.40853898265363492</v>
      </c>
      <c r="AB26" s="91">
        <f>'User Cal. Noise Std'!AC27</f>
        <v>0.22</v>
      </c>
      <c r="AC26" s="91">
        <f>'User Cal. Noise Std'!AD27</f>
        <v>0.12</v>
      </c>
      <c r="AD26" s="91">
        <f>IF(UsePreamp,Preamp!AH27,0)</f>
        <v>0</v>
      </c>
      <c r="AE26" s="91">
        <f>DUT!AG27</f>
        <v>0.31622776601683794</v>
      </c>
      <c r="AF26" s="94">
        <f t="shared" si="12"/>
        <v>1.3717679071874462E-9</v>
      </c>
      <c r="AG26" s="94">
        <f t="shared" si="13"/>
        <v>0</v>
      </c>
      <c r="AH26" s="91">
        <f t="shared" si="25"/>
        <v>1.3717679071874462E-9</v>
      </c>
      <c r="AI26" s="94">
        <f t="shared" si="14"/>
        <v>0</v>
      </c>
      <c r="AJ26" s="94">
        <f t="shared" si="15"/>
        <v>0</v>
      </c>
      <c r="AK26" s="91">
        <f t="shared" si="26"/>
        <v>0</v>
      </c>
      <c r="AL26" s="94">
        <f t="shared" si="16"/>
        <v>6.0548225961738982E-13</v>
      </c>
      <c r="AM26" s="94">
        <f t="shared" si="27"/>
        <v>0</v>
      </c>
      <c r="AN26" s="91">
        <f t="shared" si="28"/>
        <v>6.0548225961738982E-13</v>
      </c>
      <c r="AO26" s="94">
        <f t="shared" si="17"/>
        <v>2.707423749940018E-13</v>
      </c>
      <c r="AP26" s="94">
        <f t="shared" si="29"/>
        <v>8.8458926034203813E-11</v>
      </c>
      <c r="AQ26" s="94">
        <f t="shared" si="30"/>
        <v>8.8459340357920138E-11</v>
      </c>
      <c r="AR26" s="94">
        <f t="shared" si="18"/>
        <v>1.2349452610310111E-13</v>
      </c>
      <c r="AS26" s="94">
        <f>B26*(10^('User Cal. Noise Std'!AB27/(ENRconf*10))-1)*R26</f>
        <v>1.431342525180315E-11</v>
      </c>
      <c r="AT26" s="91">
        <f t="shared" si="31"/>
        <v>8.9612001978875584E-11</v>
      </c>
      <c r="AU26" s="93">
        <f>NseMeas!H26</f>
        <v>438.4470651377784</v>
      </c>
      <c r="AV26" s="93">
        <f>nSD*NseMeas!X26*AT26</f>
        <v>0.45684838112510201</v>
      </c>
      <c r="AW26" s="93">
        <f t="shared" si="32"/>
        <v>2.7228408309859795E-3</v>
      </c>
      <c r="AX26" s="93">
        <f>nSD*NseMeas!X26*AL26</f>
        <v>3.0867917689349237E-3</v>
      </c>
      <c r="AY26" s="93">
        <f t="shared" si="33"/>
        <v>1.8403173763743533E-5</v>
      </c>
      <c r="AZ26" s="93">
        <f>nSD*NseMeas!X26*AM26</f>
        <v>0</v>
      </c>
      <c r="BA26" s="93">
        <f t="shared" si="34"/>
        <v>0</v>
      </c>
      <c r="BB26" s="93">
        <f>nSD*NseMeas!X26*AO26</f>
        <v>1.3802639488751996E-3</v>
      </c>
      <c r="BC26" s="93">
        <f t="shared" si="35"/>
        <v>8.2290186526792787E-6</v>
      </c>
      <c r="BD26" s="93">
        <f>nSD*NseMeas!X26*AP26</f>
        <v>0.45096991767149258</v>
      </c>
      <c r="BE26" s="93">
        <f t="shared" si="36"/>
        <v>2.6878157133072068E-3</v>
      </c>
      <c r="BF26" s="93">
        <f>nSD*NseMeas!X26*AR26</f>
        <v>6.2958390708995639E-4</v>
      </c>
      <c r="BG26" s="93">
        <f t="shared" si="37"/>
        <v>3.7535287281981368E-6</v>
      </c>
      <c r="BH26" s="91">
        <f t="shared" si="38"/>
        <v>3.4394458695254401E-3</v>
      </c>
      <c r="BI26" s="93">
        <f t="shared" si="39"/>
        <v>2.050566069905932E-5</v>
      </c>
    </row>
    <row r="27" spans="1:61">
      <c r="A27" s="91">
        <f t="shared" si="19"/>
        <v>11.716000000000006</v>
      </c>
      <c r="B27" s="92">
        <f>T_0*(1+10^('User Cal. Noise Std'!AA28/10))</f>
        <v>4886.1902581372296</v>
      </c>
      <c r="C27" s="92">
        <f t="shared" si="0"/>
        <v>296</v>
      </c>
      <c r="D27" s="93">
        <f t="shared" si="1"/>
        <v>296</v>
      </c>
      <c r="E27" s="92">
        <f>IF(UsePreamp,T_0*(10^(Preamp!AE28/10)-1),0)</f>
        <v>438.4470651377784</v>
      </c>
      <c r="F27" s="92">
        <f>T_0*(10^((FieldFox!B27-kT0dB)/10)-1)</f>
        <v>5463.5001790836332</v>
      </c>
      <c r="G27" s="93">
        <f>IF(UsePreamp,10^(Preamp!AD28/10),1)</f>
        <v>82.151595033691308</v>
      </c>
      <c r="H27" s="94">
        <f t="shared" si="2"/>
        <v>2.1828952230477355E-8</v>
      </c>
      <c r="I27" s="94">
        <f t="shared" si="20"/>
        <v>3.2430874960792564E-9</v>
      </c>
      <c r="J27" s="94">
        <f t="shared" si="21"/>
        <v>2.8387090431657022E-10</v>
      </c>
      <c r="K27" s="95">
        <f t="shared" si="3"/>
        <v>438.44706513777868</v>
      </c>
      <c r="L27" s="93">
        <f t="shared" si="4"/>
        <v>82.151595033691294</v>
      </c>
      <c r="M27" s="94">
        <f t="shared" si="22"/>
        <v>1.7752897783264313E-9</v>
      </c>
      <c r="N27" s="94">
        <f t="shared" si="23"/>
        <v>1.77528977832643E-9</v>
      </c>
      <c r="O27" s="94">
        <f t="shared" si="24"/>
        <v>1.9784380624154358E-8</v>
      </c>
      <c r="P27" s="91">
        <f t="shared" si="5"/>
        <v>1.0644853444746147</v>
      </c>
      <c r="Q27" s="94">
        <f t="shared" si="6"/>
        <v>6.4485344474614736E-2</v>
      </c>
      <c r="R27" s="94">
        <f t="shared" si="7"/>
        <v>2.6110375003118751E-13</v>
      </c>
      <c r="S27" s="91">
        <v>-1</v>
      </c>
      <c r="T27" s="93">
        <f>FieldFox!AD27</f>
        <v>5.5</v>
      </c>
      <c r="U27" s="93">
        <f>FieldFox!AC27</f>
        <v>4.5769890732666694</v>
      </c>
      <c r="V27" s="93">
        <f>FieldFox!AE27</f>
        <v>0.92301092673333052</v>
      </c>
      <c r="W27" s="94">
        <f t="shared" si="8"/>
        <v>1.8054045564434553E-4</v>
      </c>
      <c r="X27" s="94">
        <f t="shared" si="9"/>
        <v>1.979091807911751E-4</v>
      </c>
      <c r="Y27" s="94">
        <f t="shared" si="10"/>
        <v>4.4070954613182977E-4</v>
      </c>
      <c r="Z27" s="91">
        <f>IF(UsePreamp,Preamp!AF28,FieldFox!D27)</f>
        <v>0.3981071705534972</v>
      </c>
      <c r="AA27" s="91">
        <f t="shared" si="11"/>
        <v>0.40853898265363492</v>
      </c>
      <c r="AB27" s="91">
        <f>'User Cal. Noise Std'!AC28</f>
        <v>0.22</v>
      </c>
      <c r="AC27" s="91">
        <f>'User Cal. Noise Std'!AD28</f>
        <v>0.12</v>
      </c>
      <c r="AD27" s="91">
        <f>IF(UsePreamp,Preamp!AH28,0)</f>
        <v>0</v>
      </c>
      <c r="AE27" s="91">
        <f>DUT!AG28</f>
        <v>0.31622776601683794</v>
      </c>
      <c r="AF27" s="94">
        <f t="shared" si="12"/>
        <v>1.4158219407305764E-9</v>
      </c>
      <c r="AG27" s="94">
        <f t="shared" si="13"/>
        <v>0</v>
      </c>
      <c r="AH27" s="91">
        <f t="shared" si="25"/>
        <v>1.4158219407305764E-9</v>
      </c>
      <c r="AI27" s="94">
        <f t="shared" si="14"/>
        <v>0</v>
      </c>
      <c r="AJ27" s="94">
        <f t="shared" si="15"/>
        <v>0</v>
      </c>
      <c r="AK27" s="91">
        <f t="shared" si="26"/>
        <v>0</v>
      </c>
      <c r="AL27" s="94">
        <f t="shared" si="16"/>
        <v>6.2326521118029058E-13</v>
      </c>
      <c r="AM27" s="94">
        <f t="shared" si="27"/>
        <v>0</v>
      </c>
      <c r="AN27" s="91">
        <f t="shared" si="28"/>
        <v>6.2326521118029058E-13</v>
      </c>
      <c r="AO27" s="94">
        <f t="shared" si="17"/>
        <v>2.7858636437961698E-13</v>
      </c>
      <c r="AP27" s="94">
        <f t="shared" si="29"/>
        <v>9.1299765562728784E-11</v>
      </c>
      <c r="AQ27" s="94">
        <f t="shared" si="30"/>
        <v>9.1300190592197862E-11</v>
      </c>
      <c r="AR27" s="94">
        <f t="shared" si="18"/>
        <v>1.2510461740138774E-13</v>
      </c>
      <c r="AS27" s="94">
        <f>B27*(10^('User Cal. Noise Std'!AB28/(ENRconf*10))-1)*R27</f>
        <v>1.4773097848644165E-11</v>
      </c>
      <c r="AT27" s="91">
        <f t="shared" si="31"/>
        <v>9.2489855297248861E-11</v>
      </c>
      <c r="AU27" s="93">
        <f>NseMeas!H27</f>
        <v>438.4470651377784</v>
      </c>
      <c r="AV27" s="93">
        <f>nSD*NseMeas!X27*AT27</f>
        <v>0.45684829716447689</v>
      </c>
      <c r="AW27" s="93">
        <f t="shared" si="32"/>
        <v>2.7228403307317925E-3</v>
      </c>
      <c r="AX27" s="93">
        <f>nSD*NseMeas!X27*AL27</f>
        <v>3.0785825050160223E-3</v>
      </c>
      <c r="AY27" s="93">
        <f t="shared" si="33"/>
        <v>1.8354230976788918E-5</v>
      </c>
      <c r="AZ27" s="93">
        <f>nSD*NseMeas!X27*AM27</f>
        <v>0</v>
      </c>
      <c r="BA27" s="93">
        <f t="shared" si="34"/>
        <v>0</v>
      </c>
      <c r="BB27" s="93">
        <f>nSD*NseMeas!X27*AO27</f>
        <v>1.3760612531075744E-3</v>
      </c>
      <c r="BC27" s="93">
        <f t="shared" si="35"/>
        <v>8.2039625544474105E-6</v>
      </c>
      <c r="BD27" s="93">
        <f>nSD*NseMeas!X27*AP27</f>
        <v>0.45096991767149269</v>
      </c>
      <c r="BE27" s="93">
        <f t="shared" si="36"/>
        <v>2.6878157133072068E-3</v>
      </c>
      <c r="BF27" s="93">
        <f>nSD*NseMeas!X27*AR27</f>
        <v>6.1794703044515875E-4</v>
      </c>
      <c r="BG27" s="93">
        <f t="shared" si="37"/>
        <v>3.6841506327917254E-6</v>
      </c>
      <c r="BH27" s="91">
        <f t="shared" si="38"/>
        <v>3.4282755643224925E-3</v>
      </c>
      <c r="BI27" s="93">
        <f t="shared" si="39"/>
        <v>2.0439064521505548E-5</v>
      </c>
    </row>
    <row r="28" spans="1:61">
      <c r="A28" s="91">
        <f t="shared" si="19"/>
        <v>12.244000000000007</v>
      </c>
      <c r="B28" s="92">
        <f>T_0*(1+10^('User Cal. Noise Std'!AA29/10))</f>
        <v>4886.1902581372296</v>
      </c>
      <c r="C28" s="92">
        <f t="shared" si="0"/>
        <v>296</v>
      </c>
      <c r="D28" s="93">
        <f t="shared" si="1"/>
        <v>296</v>
      </c>
      <c r="E28" s="92">
        <f>IF(UsePreamp,T_0*(10^(Preamp!AE29/10)-1),0)</f>
        <v>438.4470651377784</v>
      </c>
      <c r="F28" s="92">
        <f>T_0*(10^((FieldFox!B28-kT0dB)/10)-1)</f>
        <v>5463.5001790836332</v>
      </c>
      <c r="G28" s="93">
        <f>IF(UsePreamp,10^(Preamp!AD29/10),1)</f>
        <v>84.789875973399447</v>
      </c>
      <c r="H28" s="94">
        <f t="shared" si="2"/>
        <v>2.2521336443661867E-8</v>
      </c>
      <c r="I28" s="94">
        <f t="shared" si="20"/>
        <v>3.3385906303675307E-9</v>
      </c>
      <c r="J28" s="94">
        <f t="shared" si="21"/>
        <v>2.8387090431657022E-10</v>
      </c>
      <c r="K28" s="95">
        <f t="shared" si="3"/>
        <v>438.44706513777834</v>
      </c>
      <c r="L28" s="93">
        <f t="shared" si="4"/>
        <v>84.789875973399461</v>
      </c>
      <c r="M28" s="94">
        <f t="shared" si="22"/>
        <v>1.8323028306317015E-9</v>
      </c>
      <c r="N28" s="94">
        <f t="shared" si="23"/>
        <v>1.8323028306317015E-9</v>
      </c>
      <c r="O28" s="94">
        <f t="shared" si="24"/>
        <v>2.041975178503359E-8</v>
      </c>
      <c r="P28" s="91">
        <f t="shared" si="5"/>
        <v>1.0644853444746147</v>
      </c>
      <c r="Q28" s="94">
        <f t="shared" si="6"/>
        <v>6.4485344474614736E-2</v>
      </c>
      <c r="R28" s="94">
        <f t="shared" si="7"/>
        <v>2.6948904123230294E-13</v>
      </c>
      <c r="S28" s="91">
        <v>-1</v>
      </c>
      <c r="T28" s="93">
        <f>FieldFox!AD28</f>
        <v>5.5</v>
      </c>
      <c r="U28" s="93">
        <f>FieldFox!AC28</f>
        <v>4.6007259467845145</v>
      </c>
      <c r="V28" s="93">
        <f>FieldFox!AE28</f>
        <v>0.89927405321548537</v>
      </c>
      <c r="W28" s="94">
        <f t="shared" si="8"/>
        <v>1.8054045564434553E-4</v>
      </c>
      <c r="X28" s="94">
        <f t="shared" si="9"/>
        <v>1.9739797665874344E-4</v>
      </c>
      <c r="Y28" s="94">
        <f t="shared" si="10"/>
        <v>4.4648805797923088E-4</v>
      </c>
      <c r="Z28" s="91">
        <f>IF(UsePreamp,Preamp!AF29,FieldFox!D28)</f>
        <v>0.3981071705534972</v>
      </c>
      <c r="AA28" s="91">
        <f t="shared" si="11"/>
        <v>0.40853898265363492</v>
      </c>
      <c r="AB28" s="91">
        <f>'User Cal. Noise Std'!AC29</f>
        <v>0.22</v>
      </c>
      <c r="AC28" s="91">
        <f>'User Cal. Noise Std'!AD29</f>
        <v>0.12</v>
      </c>
      <c r="AD28" s="91">
        <f>IF(UsePreamp,Preamp!AH29,0)</f>
        <v>0</v>
      </c>
      <c r="AE28" s="91">
        <f>DUT!AG29</f>
        <v>0.31622776601683794</v>
      </c>
      <c r="AF28" s="94">
        <f t="shared" si="12"/>
        <v>1.4612907601578572E-9</v>
      </c>
      <c r="AG28" s="94">
        <f t="shared" si="13"/>
        <v>0</v>
      </c>
      <c r="AH28" s="91">
        <f t="shared" si="25"/>
        <v>1.4612907601578572E-9</v>
      </c>
      <c r="AI28" s="94">
        <f t="shared" si="14"/>
        <v>0</v>
      </c>
      <c r="AJ28" s="94">
        <f t="shared" si="15"/>
        <v>0</v>
      </c>
      <c r="AK28" s="91">
        <f t="shared" si="26"/>
        <v>0</v>
      </c>
      <c r="AL28" s="94">
        <f t="shared" si="16"/>
        <v>6.4161925843696257E-13</v>
      </c>
      <c r="AM28" s="94">
        <f t="shared" si="27"/>
        <v>0</v>
      </c>
      <c r="AN28" s="91">
        <f t="shared" si="28"/>
        <v>6.4161925843696257E-13</v>
      </c>
      <c r="AO28" s="94">
        <f t="shared" si="17"/>
        <v>2.8668031926859668E-13</v>
      </c>
      <c r="AP28" s="94">
        <f t="shared" si="29"/>
        <v>9.4231838046351048E-11</v>
      </c>
      <c r="AQ28" s="94">
        <f t="shared" si="30"/>
        <v>9.4232274127281837E-11</v>
      </c>
      <c r="AR28" s="94">
        <f t="shared" si="18"/>
        <v>1.2674496878511351E-13</v>
      </c>
      <c r="AS28" s="94">
        <f>B28*(10^('User Cal. Noise Std'!AB29/(ENRconf*10))-1)*R28</f>
        <v>1.5247532732818203E-11</v>
      </c>
      <c r="AT28" s="91">
        <f t="shared" si="31"/>
        <v>9.5460130322545971E-11</v>
      </c>
      <c r="AU28" s="93">
        <f>NseMeas!H28</f>
        <v>438.4470651377784</v>
      </c>
      <c r="AV28" s="93">
        <f>nSD*NseMeas!X28*AT28</f>
        <v>0.45684821611240478</v>
      </c>
      <c r="AW28" s="93">
        <f t="shared" si="32"/>
        <v>2.722839847808238E-3</v>
      </c>
      <c r="AX28" s="93">
        <f>nSD*NseMeas!X28*AL28</f>
        <v>3.0706286765990313E-3</v>
      </c>
      <c r="AY28" s="93">
        <f t="shared" si="33"/>
        <v>1.8306811069049664E-5</v>
      </c>
      <c r="AZ28" s="93">
        <f>nSD*NseMeas!X28*AM28</f>
        <v>0</v>
      </c>
      <c r="BA28" s="93">
        <f t="shared" si="34"/>
        <v>0</v>
      </c>
      <c r="BB28" s="93">
        <f>nSD*NseMeas!X28*AO28</f>
        <v>1.3719800298812334E-3</v>
      </c>
      <c r="BC28" s="93">
        <f t="shared" si="35"/>
        <v>8.1796306646344284E-6</v>
      </c>
      <c r="BD28" s="93">
        <f>nSD*NseMeas!X28*AP28</f>
        <v>0.45096991767149264</v>
      </c>
      <c r="BE28" s="93">
        <f t="shared" si="36"/>
        <v>2.6878157133072068E-3</v>
      </c>
      <c r="BF28" s="93">
        <f>nSD*NseMeas!X28*AR28</f>
        <v>6.0656959816684684E-4</v>
      </c>
      <c r="BG28" s="93">
        <f t="shared" si="37"/>
        <v>3.6163193220316066E-6</v>
      </c>
      <c r="BH28" s="91">
        <f t="shared" si="38"/>
        <v>3.4174575855986157E-3</v>
      </c>
      <c r="BI28" s="93">
        <f t="shared" si="39"/>
        <v>2.0374568875523282E-5</v>
      </c>
    </row>
    <row r="29" spans="1:61">
      <c r="A29" s="91">
        <f t="shared" si="19"/>
        <v>12.772000000000007</v>
      </c>
      <c r="B29" s="92">
        <f>T_0*(1+10^('User Cal. Noise Std'!AA30/10))</f>
        <v>4886.1902581372296</v>
      </c>
      <c r="C29" s="92">
        <f t="shared" si="0"/>
        <v>296</v>
      </c>
      <c r="D29" s="93">
        <f t="shared" si="1"/>
        <v>296</v>
      </c>
      <c r="E29" s="92">
        <f>IF(UsePreamp,T_0*(10^(Preamp!AE30/10)-1),0)</f>
        <v>438.4470651377784</v>
      </c>
      <c r="F29" s="92">
        <f>T_0*(10^((FieldFox!B29-kT0dB)/10)-1)</f>
        <v>5463.5001790836332</v>
      </c>
      <c r="G29" s="93">
        <f>IF(UsePreamp,10^(Preamp!AD30/10),1)</f>
        <v>87.512884742360001</v>
      </c>
      <c r="H29" s="94">
        <f t="shared" si="2"/>
        <v>2.3235956428067257E-8</v>
      </c>
      <c r="I29" s="94">
        <f t="shared" si="20"/>
        <v>3.4371608274288637E-9</v>
      </c>
      <c r="J29" s="94">
        <f t="shared" si="21"/>
        <v>2.8387090431657022E-10</v>
      </c>
      <c r="K29" s="95">
        <f t="shared" si="3"/>
        <v>438.4470651377784</v>
      </c>
      <c r="L29" s="93">
        <f t="shared" si="4"/>
        <v>87.512884742360001</v>
      </c>
      <c r="M29" s="94">
        <f t="shared" si="22"/>
        <v>1.8911468449426399E-9</v>
      </c>
      <c r="N29" s="94">
        <f t="shared" si="23"/>
        <v>1.8911468449426395E-9</v>
      </c>
      <c r="O29" s="94">
        <f t="shared" si="24"/>
        <v>2.1075527755128047E-8</v>
      </c>
      <c r="P29" s="91">
        <f t="shared" si="5"/>
        <v>1.0644853444746147</v>
      </c>
      <c r="Q29" s="94">
        <f t="shared" si="6"/>
        <v>6.4485344474614736E-2</v>
      </c>
      <c r="R29" s="94">
        <f t="shared" si="7"/>
        <v>2.7814362427054851E-13</v>
      </c>
      <c r="S29" s="91">
        <v>-1</v>
      </c>
      <c r="T29" s="93">
        <f>FieldFox!AD29</f>
        <v>5.5</v>
      </c>
      <c r="U29" s="93">
        <f>FieldFox!AC29</f>
        <v>4.6239779154093537</v>
      </c>
      <c r="V29" s="93">
        <f>FieldFox!AE29</f>
        <v>0.87602208459064668</v>
      </c>
      <c r="W29" s="94">
        <f t="shared" si="8"/>
        <v>1.8054045564434553E-4</v>
      </c>
      <c r="X29" s="94">
        <f t="shared" si="9"/>
        <v>1.9690103697409656E-4</v>
      </c>
      <c r="Y29" s="94">
        <f t="shared" si="10"/>
        <v>4.5237474518178245E-4</v>
      </c>
      <c r="Z29" s="91">
        <f>IF(UsePreamp,Preamp!AF30,FieldFox!D29)</f>
        <v>0.3981071705534972</v>
      </c>
      <c r="AA29" s="91">
        <f t="shared" si="11"/>
        <v>0.40853898265363492</v>
      </c>
      <c r="AB29" s="91">
        <f>'User Cal. Noise Std'!AC30</f>
        <v>0.22</v>
      </c>
      <c r="AC29" s="91">
        <f>'User Cal. Noise Std'!AD30</f>
        <v>0.12</v>
      </c>
      <c r="AD29" s="91">
        <f>IF(UsePreamp,Preamp!AH30,0)</f>
        <v>0</v>
      </c>
      <c r="AE29" s="91">
        <f>DUT!AG30</f>
        <v>0.31622776601683794</v>
      </c>
      <c r="AF29" s="94">
        <f t="shared" si="12"/>
        <v>1.5082198010159812E-9</v>
      </c>
      <c r="AG29" s="94">
        <f t="shared" si="13"/>
        <v>0</v>
      </c>
      <c r="AH29" s="91">
        <f t="shared" si="25"/>
        <v>1.5082198010159812E-9</v>
      </c>
      <c r="AI29" s="94">
        <f t="shared" si="14"/>
        <v>0</v>
      </c>
      <c r="AJ29" s="94">
        <f t="shared" si="15"/>
        <v>0</v>
      </c>
      <c r="AK29" s="91">
        <f t="shared" si="26"/>
        <v>0</v>
      </c>
      <c r="AL29" s="94">
        <f t="shared" si="16"/>
        <v>6.6056274200371412E-13</v>
      </c>
      <c r="AM29" s="94">
        <f t="shared" si="27"/>
        <v>0</v>
      </c>
      <c r="AN29" s="91">
        <f t="shared" si="28"/>
        <v>6.6056274200371412E-13</v>
      </c>
      <c r="AO29" s="94">
        <f t="shared" si="17"/>
        <v>2.950323108432334E-13</v>
      </c>
      <c r="AP29" s="94">
        <f t="shared" si="29"/>
        <v>9.7258073411950435E-11</v>
      </c>
      <c r="AQ29" s="94">
        <f t="shared" si="30"/>
        <v>9.7258520901095243E-11</v>
      </c>
      <c r="AR29" s="94">
        <f t="shared" si="18"/>
        <v>1.284160280047306E-13</v>
      </c>
      <c r="AS29" s="94">
        <f>B29*(10^('User Cal. Noise Std'!AB30/(ENRconf*10))-1)*R29</f>
        <v>1.5737203992032005E-11</v>
      </c>
      <c r="AT29" s="91">
        <f t="shared" si="31"/>
        <v>9.8525795156232966E-11</v>
      </c>
      <c r="AU29" s="93">
        <f>NseMeas!H29</f>
        <v>438.4470651377784</v>
      </c>
      <c r="AV29" s="93">
        <f>nSD*NseMeas!X29*AT29</f>
        <v>0.45684813786024669</v>
      </c>
      <c r="AW29" s="93">
        <f t="shared" si="32"/>
        <v>2.7228393815676927E-3</v>
      </c>
      <c r="AX29" s="93">
        <f>nSD*NseMeas!X29*AL29</f>
        <v>3.0629223356759099E-3</v>
      </c>
      <c r="AY29" s="93">
        <f t="shared" si="33"/>
        <v>1.826086665661616E-5</v>
      </c>
      <c r="AZ29" s="93">
        <f>nSD*NseMeas!X29*AM29</f>
        <v>0</v>
      </c>
      <c r="BA29" s="93">
        <f t="shared" si="34"/>
        <v>0</v>
      </c>
      <c r="BB29" s="93">
        <f>nSD*NseMeas!X29*AO29</f>
        <v>1.3680169909170211E-3</v>
      </c>
      <c r="BC29" s="93">
        <f t="shared" si="35"/>
        <v>8.1560033785119286E-6</v>
      </c>
      <c r="BD29" s="93">
        <f>nSD*NseMeas!X29*AP29</f>
        <v>0.45096991767149258</v>
      </c>
      <c r="BE29" s="93">
        <f t="shared" si="36"/>
        <v>2.6878157133072068E-3</v>
      </c>
      <c r="BF29" s="93">
        <f>nSD*NseMeas!X29*AR29</f>
        <v>5.9544430138668187E-4</v>
      </c>
      <c r="BG29" s="93">
        <f t="shared" si="37"/>
        <v>3.549991221924972E-6</v>
      </c>
      <c r="BH29" s="91">
        <f t="shared" si="38"/>
        <v>3.4069807216762916E-3</v>
      </c>
      <c r="BI29" s="93">
        <f t="shared" si="39"/>
        <v>2.0312106920124712E-5</v>
      </c>
    </row>
    <row r="30" spans="1:61">
      <c r="A30" s="91">
        <f t="shared" si="19"/>
        <v>13.300000000000008</v>
      </c>
      <c r="B30" s="92">
        <f>T_0*(1+10^('User Cal. Noise Std'!AA31/10))</f>
        <v>4886.1902581372296</v>
      </c>
      <c r="C30" s="92">
        <f t="shared" si="0"/>
        <v>296</v>
      </c>
      <c r="D30" s="93">
        <f t="shared" si="1"/>
        <v>296</v>
      </c>
      <c r="E30" s="92">
        <f>IF(UsePreamp,T_0*(10^(Preamp!AE31/10)-1),0)</f>
        <v>438.4470651377784</v>
      </c>
      <c r="F30" s="92">
        <f>T_0*(10^((FieldFox!B30-kT0dB)/10)-1)</f>
        <v>11189.742086492277</v>
      </c>
      <c r="G30" s="93">
        <f>IF(UsePreamp,10^(Preamp!AD31/10),1)</f>
        <v>90.323342356724709</v>
      </c>
      <c r="H30" s="94">
        <f t="shared" si="2"/>
        <v>2.4255757970652235E-8</v>
      </c>
      <c r="I30" s="94">
        <f t="shared" si="20"/>
        <v>3.8211282752416127E-9</v>
      </c>
      <c r="J30" s="94">
        <f t="shared" si="21"/>
        <v>5.6610259422862112E-10</v>
      </c>
      <c r="K30" s="95">
        <f t="shared" si="3"/>
        <v>438.44706513777805</v>
      </c>
      <c r="L30" s="93">
        <f t="shared" si="4"/>
        <v>90.323342356724709</v>
      </c>
      <c r="M30" s="94">
        <f t="shared" si="22"/>
        <v>1.9518806222132453E-9</v>
      </c>
      <c r="N30" s="94">
        <f t="shared" si="23"/>
        <v>1.951880622213247E-9</v>
      </c>
      <c r="O30" s="94">
        <f t="shared" si="24"/>
        <v>2.1752363830530365E-8</v>
      </c>
      <c r="P30" s="91">
        <f t="shared" si="5"/>
        <v>1.0644853444746147</v>
      </c>
      <c r="Q30" s="94">
        <f t="shared" si="6"/>
        <v>6.4485344474614736E-2</v>
      </c>
      <c r="R30" s="94">
        <f t="shared" si="7"/>
        <v>2.8707614739579504E-13</v>
      </c>
      <c r="S30" s="91">
        <v>-1</v>
      </c>
      <c r="T30" s="93">
        <f>FieldFox!AD30</f>
        <v>5.5</v>
      </c>
      <c r="U30" s="93">
        <f>FieldFox!AC30</f>
        <v>4.0383998286283598</v>
      </c>
      <c r="V30" s="93">
        <f>FieldFox!AE30</f>
        <v>1.4616001713716404</v>
      </c>
      <c r="W30" s="94">
        <f t="shared" si="8"/>
        <v>1.8054045564434553E-4</v>
      </c>
      <c r="X30" s="94">
        <f t="shared" si="9"/>
        <v>2.1069354071492219E-4</v>
      </c>
      <c r="Y30" s="94">
        <f t="shared" si="10"/>
        <v>3.5022051820792442E-4</v>
      </c>
      <c r="Z30" s="91">
        <f>IF(UsePreamp,Preamp!AF31,FieldFox!D30)</f>
        <v>0.3981071705534972</v>
      </c>
      <c r="AA30" s="91">
        <f t="shared" si="11"/>
        <v>0.40853898265363492</v>
      </c>
      <c r="AB30" s="91">
        <f>'User Cal. Noise Std'!AC31</f>
        <v>0.22</v>
      </c>
      <c r="AC30" s="91">
        <f>'User Cal. Noise Std'!AD31</f>
        <v>0.12</v>
      </c>
      <c r="AD30" s="91">
        <f>IF(UsePreamp,Preamp!AH31,0)</f>
        <v>0</v>
      </c>
      <c r="AE30" s="91">
        <f>DUT!AG31</f>
        <v>0.31622776601683794</v>
      </c>
      <c r="AF30" s="94">
        <f t="shared" si="12"/>
        <v>1.5566559580045216E-9</v>
      </c>
      <c r="AG30" s="94">
        <f t="shared" si="13"/>
        <v>0</v>
      </c>
      <c r="AH30" s="91">
        <f t="shared" si="25"/>
        <v>1.5566559580045216E-9</v>
      </c>
      <c r="AI30" s="94">
        <f t="shared" si="14"/>
        <v>0</v>
      </c>
      <c r="AJ30" s="94">
        <f t="shared" si="15"/>
        <v>0</v>
      </c>
      <c r="AK30" s="91">
        <f t="shared" si="26"/>
        <v>0</v>
      </c>
      <c r="AL30" s="94">
        <f t="shared" si="16"/>
        <v>7.3435463097886171E-13</v>
      </c>
      <c r="AM30" s="94">
        <f t="shared" si="27"/>
        <v>0</v>
      </c>
      <c r="AN30" s="91">
        <f t="shared" si="28"/>
        <v>7.3435463097886171E-13</v>
      </c>
      <c r="AO30" s="94">
        <f t="shared" si="17"/>
        <v>3.2955438613211534E-13</v>
      </c>
      <c r="AP30" s="94">
        <f t="shared" si="29"/>
        <v>1.0038149568038299E-10</v>
      </c>
      <c r="AQ30" s="94">
        <f t="shared" si="30"/>
        <v>1.0038203664562782E-10</v>
      </c>
      <c r="AR30" s="94">
        <f t="shared" si="18"/>
        <v>1.9826074390959805E-13</v>
      </c>
      <c r="AS30" s="94">
        <f>B30*(10^('User Cal. Noise Std'!AB31/(ENRconf*10))-1)*R30</f>
        <v>1.6242600939217873E-11</v>
      </c>
      <c r="AT30" s="91">
        <f t="shared" si="31"/>
        <v>1.0169048112011991E-10</v>
      </c>
      <c r="AU30" s="93">
        <f>NseMeas!H30</f>
        <v>438.4470651377784</v>
      </c>
      <c r="AV30" s="93">
        <f>nSD*NseMeas!X30*AT30</f>
        <v>0.45685061363034668</v>
      </c>
      <c r="AW30" s="93">
        <f t="shared" si="32"/>
        <v>2.7228541326656122E-3</v>
      </c>
      <c r="AX30" s="93">
        <f>nSD*NseMeas!X30*AL30</f>
        <v>3.2991324270428839E-3</v>
      </c>
      <c r="AY30" s="93">
        <f t="shared" si="33"/>
        <v>1.9669126723572561E-5</v>
      </c>
      <c r="AZ30" s="93">
        <f>nSD*NseMeas!X30*AM30</f>
        <v>0</v>
      </c>
      <c r="BA30" s="93">
        <f t="shared" si="34"/>
        <v>0</v>
      </c>
      <c r="BB30" s="93">
        <f>nSD*NseMeas!X30*AO30</f>
        <v>1.4805429364739304E-3</v>
      </c>
      <c r="BC30" s="93">
        <f t="shared" si="35"/>
        <v>8.8268730140347528E-6</v>
      </c>
      <c r="BD30" s="93">
        <f>nSD*NseMeas!X30*AP30</f>
        <v>0.45096991767149275</v>
      </c>
      <c r="BE30" s="93">
        <f t="shared" si="36"/>
        <v>2.6878157133072068E-3</v>
      </c>
      <c r="BF30" s="93">
        <f>nSD*NseMeas!X30*AR30</f>
        <v>8.9069833789967307E-4</v>
      </c>
      <c r="BG30" s="93">
        <f t="shared" si="37"/>
        <v>5.3102710576061056E-6</v>
      </c>
      <c r="BH30" s="91">
        <f t="shared" si="38"/>
        <v>3.7241946360315214E-3</v>
      </c>
      <c r="BI30" s="93">
        <f t="shared" si="39"/>
        <v>2.2203302379773236E-5</v>
      </c>
    </row>
    <row r="31" spans="1:61">
      <c r="A31" s="91">
        <f t="shared" si="19"/>
        <v>13.828000000000008</v>
      </c>
      <c r="B31" s="92">
        <f>T_0*(1+10^('User Cal. Noise Std'!AA32/10))</f>
        <v>4886.1902581372296</v>
      </c>
      <c r="C31" s="92">
        <f t="shared" si="0"/>
        <v>296</v>
      </c>
      <c r="D31" s="93">
        <f t="shared" si="1"/>
        <v>296</v>
      </c>
      <c r="E31" s="92">
        <f>IF(UsePreamp,T_0*(10^(Preamp!AE32/10)-1),0)</f>
        <v>438.4470651377784</v>
      </c>
      <c r="F31" s="92">
        <f>T_0*(10^((FieldFox!B31-kT0dB)/10)-1)</f>
        <v>11189.742086492277</v>
      </c>
      <c r="G31" s="93">
        <f>IF(UsePreamp,10^(Preamp!AD32/10),1)</f>
        <v>93.22405721749827</v>
      </c>
      <c r="H31" s="94">
        <f t="shared" si="2"/>
        <v>2.5017014721713588E-8</v>
      </c>
      <c r="I31" s="94">
        <f t="shared" si="20"/>
        <v>3.9261312552923656E-9</v>
      </c>
      <c r="J31" s="94">
        <f t="shared" si="21"/>
        <v>5.6610259422862112E-10</v>
      </c>
      <c r="K31" s="95">
        <f t="shared" si="3"/>
        <v>438.44706513777851</v>
      </c>
      <c r="L31" s="93">
        <f t="shared" si="4"/>
        <v>93.22405721749827</v>
      </c>
      <c r="M31" s="94">
        <f t="shared" si="22"/>
        <v>2.0145648517776157E-9</v>
      </c>
      <c r="N31" s="94">
        <f t="shared" si="23"/>
        <v>2.0145648517776145E-9</v>
      </c>
      <c r="O31" s="94">
        <f t="shared" si="24"/>
        <v>2.2450936352027349E-8</v>
      </c>
      <c r="P31" s="91">
        <f t="shared" si="5"/>
        <v>1.0644853444746147</v>
      </c>
      <c r="Q31" s="94">
        <f t="shared" si="6"/>
        <v>6.4485344474614736E-2</v>
      </c>
      <c r="R31" s="94">
        <f t="shared" si="7"/>
        <v>2.962955365946116E-13</v>
      </c>
      <c r="S31" s="91">
        <v>-1</v>
      </c>
      <c r="T31" s="93">
        <f>FieldFox!AD31</f>
        <v>5.5</v>
      </c>
      <c r="U31" s="93">
        <f>FieldFox!AC31</f>
        <v>4.0713226533955655</v>
      </c>
      <c r="V31" s="93">
        <f>FieldFox!AE31</f>
        <v>1.4286773466044351</v>
      </c>
      <c r="W31" s="94">
        <f t="shared" si="8"/>
        <v>1.8054045564434553E-4</v>
      </c>
      <c r="X31" s="94">
        <f t="shared" si="9"/>
        <v>2.0983992293644715E-4</v>
      </c>
      <c r="Y31" s="94">
        <f t="shared" si="10"/>
        <v>3.5423282258410896E-4</v>
      </c>
      <c r="Z31" s="91">
        <f>IF(UsePreamp,Preamp!AF32,FieldFox!D31)</f>
        <v>0.3981071705534972</v>
      </c>
      <c r="AA31" s="91">
        <f t="shared" si="11"/>
        <v>0.40853898265363492</v>
      </c>
      <c r="AB31" s="91">
        <f>'User Cal. Noise Std'!AC32</f>
        <v>0.22</v>
      </c>
      <c r="AC31" s="91">
        <f>'User Cal. Noise Std'!AD32</f>
        <v>0.12</v>
      </c>
      <c r="AD31" s="91">
        <f>IF(UsePreamp,Preamp!AH32,0)</f>
        <v>0</v>
      </c>
      <c r="AE31" s="91">
        <f>DUT!AG32</f>
        <v>0.31622776601683794</v>
      </c>
      <c r="AF31" s="94">
        <f t="shared" si="12"/>
        <v>1.6066476318363215E-9</v>
      </c>
      <c r="AG31" s="94">
        <f t="shared" si="13"/>
        <v>0</v>
      </c>
      <c r="AH31" s="91">
        <f t="shared" si="25"/>
        <v>1.6066476318363215E-9</v>
      </c>
      <c r="AI31" s="94">
        <f t="shared" si="14"/>
        <v>0</v>
      </c>
      <c r="AJ31" s="94">
        <f t="shared" si="15"/>
        <v>0</v>
      </c>
      <c r="AK31" s="91">
        <f t="shared" si="26"/>
        <v>0</v>
      </c>
      <c r="AL31" s="94">
        <f t="shared" si="16"/>
        <v>7.5453438395037798E-13</v>
      </c>
      <c r="AM31" s="94">
        <f t="shared" si="27"/>
        <v>0</v>
      </c>
      <c r="AN31" s="91">
        <f t="shared" si="28"/>
        <v>7.5453438395037798E-13</v>
      </c>
      <c r="AO31" s="94">
        <f t="shared" si="17"/>
        <v>3.3852022928057691E-13</v>
      </c>
      <c r="AP31" s="94">
        <f t="shared" si="29"/>
        <v>1.0360522598828919E-10</v>
      </c>
      <c r="AQ31" s="94">
        <f t="shared" si="30"/>
        <v>1.0360577902815126E-10</v>
      </c>
      <c r="AR31" s="94">
        <f t="shared" si="18"/>
        <v>2.0053211982579096E-13</v>
      </c>
      <c r="AS31" s="94">
        <f>B31*(10^('User Cal. Noise Std'!AB32/(ENRconf*10))-1)*R31</f>
        <v>1.6764228601488454E-11</v>
      </c>
      <c r="AT31" s="91">
        <f t="shared" si="31"/>
        <v>1.0495621155463223E-10</v>
      </c>
      <c r="AU31" s="93">
        <f>NseMeas!H31</f>
        <v>438.4470651377784</v>
      </c>
      <c r="AV31" s="93">
        <f>nSD*NseMeas!X31*AT31</f>
        <v>0.45685044969888255</v>
      </c>
      <c r="AW31" s="93">
        <f t="shared" si="32"/>
        <v>2.7228531559313255E-3</v>
      </c>
      <c r="AX31" s="93">
        <f>nSD*NseMeas!X31*AL31</f>
        <v>3.2843160734852741E-3</v>
      </c>
      <c r="AY31" s="93">
        <f t="shared" si="33"/>
        <v>1.9580793174232842E-5</v>
      </c>
      <c r="AZ31" s="93">
        <f>nSD*NseMeas!X31*AM31</f>
        <v>0</v>
      </c>
      <c r="BA31" s="93">
        <f t="shared" si="34"/>
        <v>0</v>
      </c>
      <c r="BB31" s="93">
        <f>nSD*NseMeas!X31*AO31</f>
        <v>1.4735013458303009E-3</v>
      </c>
      <c r="BC31" s="93">
        <f t="shared" si="35"/>
        <v>8.7848916824618283E-6</v>
      </c>
      <c r="BD31" s="93">
        <f>nSD*NseMeas!X31*AP31</f>
        <v>0.45096991767149269</v>
      </c>
      <c r="BE31" s="93">
        <f t="shared" si="36"/>
        <v>2.6878157133072068E-3</v>
      </c>
      <c r="BF31" s="93">
        <f>nSD*NseMeas!X31*AR31</f>
        <v>8.7287057873459853E-4</v>
      </c>
      <c r="BG31" s="93">
        <f t="shared" si="37"/>
        <v>5.2039834709591683E-6</v>
      </c>
      <c r="BH31" s="91">
        <f t="shared" si="38"/>
        <v>3.7040304175233103E-3</v>
      </c>
      <c r="BI31" s="93">
        <f t="shared" si="39"/>
        <v>2.208308548904687E-5</v>
      </c>
    </row>
    <row r="32" spans="1:61">
      <c r="A32" s="91">
        <f t="shared" si="19"/>
        <v>14.356000000000009</v>
      </c>
      <c r="B32" s="92">
        <f>T_0*(1+10^('User Cal. Noise Std'!AA33/10))</f>
        <v>4886.1902581372296</v>
      </c>
      <c r="C32" s="92">
        <f t="shared" si="0"/>
        <v>296</v>
      </c>
      <c r="D32" s="93">
        <f t="shared" si="1"/>
        <v>296</v>
      </c>
      <c r="E32" s="92">
        <f>IF(UsePreamp,T_0*(10^(Preamp!AE33/10)-1),0)</f>
        <v>438.4470651377784</v>
      </c>
      <c r="F32" s="92">
        <f>T_0*(10^((FieldFox!B32-kT0dB)/10)-1)</f>
        <v>11189.742086492277</v>
      </c>
      <c r="G32" s="93">
        <f>IF(UsePreamp,10^(Preamp!AD33/10),1)</f>
        <v>96.217927916884122</v>
      </c>
      <c r="H32" s="94">
        <f t="shared" si="2"/>
        <v>2.580271907084926E-8</v>
      </c>
      <c r="I32" s="94">
        <f t="shared" si="20"/>
        <v>4.034506383635144E-9</v>
      </c>
      <c r="J32" s="94">
        <f t="shared" si="21"/>
        <v>5.6610259422862112E-10</v>
      </c>
      <c r="K32" s="95">
        <f t="shared" si="3"/>
        <v>438.44706513777817</v>
      </c>
      <c r="L32" s="93">
        <f t="shared" si="4"/>
        <v>96.21792791688415</v>
      </c>
      <c r="M32" s="94">
        <f t="shared" si="22"/>
        <v>2.0792621719948417E-9</v>
      </c>
      <c r="N32" s="94">
        <f t="shared" si="23"/>
        <v>2.0792621719948417E-9</v>
      </c>
      <c r="O32" s="94">
        <f t="shared" si="24"/>
        <v>2.3171943380945794E-8</v>
      </c>
      <c r="P32" s="91">
        <f t="shared" si="5"/>
        <v>1.0644853444746147</v>
      </c>
      <c r="Q32" s="94">
        <f t="shared" si="6"/>
        <v>6.4485344474614736E-2</v>
      </c>
      <c r="R32" s="94">
        <f t="shared" si="7"/>
        <v>3.058110045097209E-13</v>
      </c>
      <c r="S32" s="91">
        <v>-1</v>
      </c>
      <c r="T32" s="93">
        <f>FieldFox!AD32</f>
        <v>5.5</v>
      </c>
      <c r="U32" s="93">
        <f>FieldFox!AC32</f>
        <v>4.1037827278331731</v>
      </c>
      <c r="V32" s="93">
        <f>FieldFox!AE32</f>
        <v>1.3962172721668271</v>
      </c>
      <c r="W32" s="94">
        <f t="shared" si="8"/>
        <v>1.8054045564434553E-4</v>
      </c>
      <c r="X32" s="94">
        <f t="shared" si="9"/>
        <v>2.0900838009706873E-4</v>
      </c>
      <c r="Y32" s="94">
        <f t="shared" si="10"/>
        <v>3.5832686985367548E-4</v>
      </c>
      <c r="Z32" s="91">
        <f>IF(UsePreamp,Preamp!AF33,FieldFox!D32)</f>
        <v>0.3981071705534972</v>
      </c>
      <c r="AA32" s="91">
        <f t="shared" si="11"/>
        <v>0.40853898265363492</v>
      </c>
      <c r="AB32" s="91">
        <f>'User Cal. Noise Std'!AC33</f>
        <v>0.22</v>
      </c>
      <c r="AC32" s="91">
        <f>'User Cal. Noise Std'!AD33</f>
        <v>0.12</v>
      </c>
      <c r="AD32" s="91">
        <f>IF(UsePreamp,Preamp!AH33,0)</f>
        <v>0</v>
      </c>
      <c r="AE32" s="91">
        <f>DUT!AG33</f>
        <v>0.31622776601683794</v>
      </c>
      <c r="AF32" s="94">
        <f t="shared" si="12"/>
        <v>1.6582447776027858E-9</v>
      </c>
      <c r="AG32" s="94">
        <f t="shared" si="13"/>
        <v>0</v>
      </c>
      <c r="AH32" s="91">
        <f t="shared" si="25"/>
        <v>1.6582447776027858E-9</v>
      </c>
      <c r="AI32" s="94">
        <f t="shared" si="14"/>
        <v>0</v>
      </c>
      <c r="AJ32" s="94">
        <f t="shared" si="15"/>
        <v>0</v>
      </c>
      <c r="AK32" s="91">
        <f t="shared" si="26"/>
        <v>0</v>
      </c>
      <c r="AL32" s="94">
        <f t="shared" si="16"/>
        <v>7.7536220538131788E-13</v>
      </c>
      <c r="AM32" s="94">
        <f t="shared" si="27"/>
        <v>0</v>
      </c>
      <c r="AN32" s="91">
        <f t="shared" si="28"/>
        <v>7.7536220538131788E-13</v>
      </c>
      <c r="AO32" s="94">
        <f t="shared" si="17"/>
        <v>3.4776846420235417E-13</v>
      </c>
      <c r="AP32" s="94">
        <f t="shared" si="29"/>
        <v>1.0693248570694654E-10</v>
      </c>
      <c r="AQ32" s="94">
        <f t="shared" si="30"/>
        <v>1.0693305121603432E-10</v>
      </c>
      <c r="AR32" s="94">
        <f t="shared" si="18"/>
        <v>2.0284977060598719E-13</v>
      </c>
      <c r="AS32" s="94">
        <f>B32*(10^('User Cal. Noise Std'!AB33/(ENRconf*10))-1)*R32</f>
        <v>1.7302608224794333E-11</v>
      </c>
      <c r="AT32" s="91">
        <f t="shared" si="31"/>
        <v>1.0832682044780373E-10</v>
      </c>
      <c r="AU32" s="93">
        <f>NseMeas!H32</f>
        <v>438.4470651377784</v>
      </c>
      <c r="AV32" s="93">
        <f>nSD*NseMeas!X32*AT32</f>
        <v>0.45685029180788117</v>
      </c>
      <c r="AW32" s="93">
        <f t="shared" si="32"/>
        <v>2.7228522151882409E-3</v>
      </c>
      <c r="AX32" s="93">
        <f>nSD*NseMeas!X32*AL32</f>
        <v>3.2699607384483066E-3</v>
      </c>
      <c r="AY32" s="93">
        <f t="shared" si="33"/>
        <v>1.9495208166798576E-5</v>
      </c>
      <c r="AZ32" s="93">
        <f>nSD*NseMeas!X32*AM32</f>
        <v>0</v>
      </c>
      <c r="BA32" s="93">
        <f t="shared" si="34"/>
        <v>0</v>
      </c>
      <c r="BB32" s="93">
        <f>nSD*NseMeas!X32*AO32</f>
        <v>1.4666554754921301E-3</v>
      </c>
      <c r="BC32" s="93">
        <f t="shared" si="35"/>
        <v>8.7440772171555412E-6</v>
      </c>
      <c r="BD32" s="93">
        <f>nSD*NseMeas!X32*AP32</f>
        <v>0.45096991767149264</v>
      </c>
      <c r="BE32" s="93">
        <f t="shared" si="36"/>
        <v>2.6878157133072068E-3</v>
      </c>
      <c r="BF32" s="93">
        <f>nSD*NseMeas!X32*AR32</f>
        <v>8.5548506373045571E-4</v>
      </c>
      <c r="BG32" s="93">
        <f t="shared" si="37"/>
        <v>5.1003325042013027E-6</v>
      </c>
      <c r="BH32" s="91">
        <f t="shared" si="38"/>
        <v>3.6845048797701902E-3</v>
      </c>
      <c r="BI32" s="93">
        <f t="shared" si="39"/>
        <v>2.196667633942008E-5</v>
      </c>
    </row>
    <row r="33" spans="1:61">
      <c r="A33" s="91">
        <f t="shared" si="19"/>
        <v>14.884000000000009</v>
      </c>
      <c r="B33" s="92">
        <f>T_0*(1+10^('User Cal. Noise Std'!AA34/10))</f>
        <v>4886.1902581372296</v>
      </c>
      <c r="C33" s="92">
        <f t="shared" si="0"/>
        <v>296</v>
      </c>
      <c r="D33" s="93">
        <f t="shared" si="1"/>
        <v>296</v>
      </c>
      <c r="E33" s="92">
        <f>IF(UsePreamp,T_0*(10^(Preamp!AE34/10)-1),0)</f>
        <v>438.4470651377784</v>
      </c>
      <c r="F33" s="92">
        <f>T_0*(10^((FieldFox!B33-kT0dB)/10)-1)</f>
        <v>11189.742086492277</v>
      </c>
      <c r="G33" s="93">
        <f>IF(UsePreamp,10^(Preamp!AD34/10),1)</f>
        <v>99.307946134755937</v>
      </c>
      <c r="H33" s="94">
        <f t="shared" si="2"/>
        <v>2.6613656147453258E-8</v>
      </c>
      <c r="I33" s="94">
        <f t="shared" si="20"/>
        <v>4.1463619560925921E-9</v>
      </c>
      <c r="J33" s="94">
        <f t="shared" si="21"/>
        <v>5.6610259422862112E-10</v>
      </c>
      <c r="K33" s="95">
        <f t="shared" si="3"/>
        <v>438.44706513777857</v>
      </c>
      <c r="L33" s="93">
        <f t="shared" si="4"/>
        <v>99.307946134755923</v>
      </c>
      <c r="M33" s="94">
        <f t="shared" si="22"/>
        <v>2.1460372328415685E-9</v>
      </c>
      <c r="N33" s="94">
        <f t="shared" si="23"/>
        <v>2.1460372328415677E-9</v>
      </c>
      <c r="O33" s="94">
        <f t="shared" si="24"/>
        <v>2.3916105396703068E-8</v>
      </c>
      <c r="P33" s="91">
        <f t="shared" si="5"/>
        <v>1.0644853444746147</v>
      </c>
      <c r="Q33" s="94">
        <f t="shared" si="6"/>
        <v>6.4485344474614736E-2</v>
      </c>
      <c r="R33" s="94">
        <f t="shared" si="7"/>
        <v>3.1563205964590091E-13</v>
      </c>
      <c r="S33" s="91">
        <v>-1</v>
      </c>
      <c r="T33" s="93">
        <f>FieldFox!AD33</f>
        <v>5.5</v>
      </c>
      <c r="U33" s="93">
        <f>FieldFox!AC33</f>
        <v>4.1357738678925946</v>
      </c>
      <c r="V33" s="93">
        <f>FieldFox!AE33</f>
        <v>1.3642261321074054</v>
      </c>
      <c r="W33" s="94">
        <f t="shared" si="8"/>
        <v>1.8054045564434553E-4</v>
      </c>
      <c r="X33" s="94">
        <f t="shared" si="9"/>
        <v>2.0819844741449333E-4</v>
      </c>
      <c r="Y33" s="94">
        <f t="shared" si="10"/>
        <v>3.6250391126416175E-4</v>
      </c>
      <c r="Z33" s="91">
        <f>IF(UsePreamp,Preamp!AF34,FieldFox!D33)</f>
        <v>0.3981071705534972</v>
      </c>
      <c r="AA33" s="91">
        <f t="shared" si="11"/>
        <v>0.40853898265363492</v>
      </c>
      <c r="AB33" s="91">
        <f>'User Cal. Noise Std'!AC34</f>
        <v>0.22</v>
      </c>
      <c r="AC33" s="91">
        <f>'User Cal. Noise Std'!AD34</f>
        <v>0.12</v>
      </c>
      <c r="AD33" s="91">
        <f>IF(UsePreamp,Preamp!AH34,0)</f>
        <v>0</v>
      </c>
      <c r="AE33" s="91">
        <f>DUT!AG34</f>
        <v>0.31622776601683794</v>
      </c>
      <c r="AF33" s="94">
        <f t="shared" si="12"/>
        <v>1.7114989546924196E-9</v>
      </c>
      <c r="AG33" s="94">
        <f t="shared" si="13"/>
        <v>0</v>
      </c>
      <c r="AH33" s="91">
        <f t="shared" si="25"/>
        <v>1.7114989546924196E-9</v>
      </c>
      <c r="AI33" s="94">
        <f t="shared" si="14"/>
        <v>0</v>
      </c>
      <c r="AJ33" s="94">
        <f t="shared" si="15"/>
        <v>0</v>
      </c>
      <c r="AK33" s="91">
        <f t="shared" si="26"/>
        <v>0</v>
      </c>
      <c r="AL33" s="94">
        <f t="shared" si="16"/>
        <v>7.9685890785193176E-13</v>
      </c>
      <c r="AM33" s="94">
        <f t="shared" si="27"/>
        <v>0</v>
      </c>
      <c r="AN33" s="91">
        <f t="shared" si="28"/>
        <v>7.9685890785193176E-13</v>
      </c>
      <c r="AO33" s="94">
        <f t="shared" si="17"/>
        <v>3.5730825677861498E-13</v>
      </c>
      <c r="AP33" s="94">
        <f t="shared" si="29"/>
        <v>1.1036659966128372E-10</v>
      </c>
      <c r="AQ33" s="94">
        <f t="shared" si="30"/>
        <v>1.1036717804666582E-10</v>
      </c>
      <c r="AR33" s="94">
        <f t="shared" si="18"/>
        <v>2.0521440458466382E-13</v>
      </c>
      <c r="AS33" s="94">
        <f>B33*(10^('User Cal. Noise Std'!AB34/(ENRconf*10))-1)*R33</f>
        <v>1.7858277794788586E-11</v>
      </c>
      <c r="AT33" s="91">
        <f t="shared" si="31"/>
        <v>1.1180567594201621E-10</v>
      </c>
      <c r="AU33" s="93">
        <f>NseMeas!H33</f>
        <v>438.4470651377784</v>
      </c>
      <c r="AV33" s="93">
        <f>nSD*NseMeas!X33*AT33</f>
        <v>0.45685013971182598</v>
      </c>
      <c r="AW33" s="93">
        <f t="shared" si="32"/>
        <v>2.7228513089714982E-3</v>
      </c>
      <c r="AX33" s="93">
        <f>nSD*NseMeas!X33*AL33</f>
        <v>3.2560520771017592E-3</v>
      </c>
      <c r="AY33" s="93">
        <f t="shared" si="33"/>
        <v>1.9412286179468842E-5</v>
      </c>
      <c r="AZ33" s="93">
        <f>nSD*NseMeas!X33*AM33</f>
        <v>0</v>
      </c>
      <c r="BA33" s="93">
        <f t="shared" si="34"/>
        <v>0</v>
      </c>
      <c r="BB33" s="93">
        <f>nSD*NseMeas!X33*AO33</f>
        <v>1.4600003591423714E-3</v>
      </c>
      <c r="BC33" s="93">
        <f t="shared" si="35"/>
        <v>8.7044000104619217E-6</v>
      </c>
      <c r="BD33" s="93">
        <f>nSD*NseMeas!X33*AP33</f>
        <v>0.45096991767149264</v>
      </c>
      <c r="BE33" s="93">
        <f t="shared" si="36"/>
        <v>2.6878157133072068E-3</v>
      </c>
      <c r="BF33" s="93">
        <f>nSD*NseMeas!X33*AR33</f>
        <v>8.3852835390936596E-4</v>
      </c>
      <c r="BG33" s="93">
        <f t="shared" si="37"/>
        <v>4.9992380345373069E-6</v>
      </c>
      <c r="BH33" s="91">
        <f t="shared" si="38"/>
        <v>3.6655976290101023E-3</v>
      </c>
      <c r="BI33" s="93">
        <f t="shared" si="39"/>
        <v>2.1853953347475252E-5</v>
      </c>
    </row>
    <row r="34" spans="1:61">
      <c r="A34" s="91">
        <f t="shared" si="19"/>
        <v>15.41200000000001</v>
      </c>
      <c r="B34" s="92">
        <f>T_0*(1+10^('User Cal. Noise Std'!AA35/10))</f>
        <v>4886.1902581372296</v>
      </c>
      <c r="C34" s="92">
        <f t="shared" si="0"/>
        <v>296</v>
      </c>
      <c r="D34" s="93">
        <f t="shared" si="1"/>
        <v>296</v>
      </c>
      <c r="E34" s="92">
        <f>IF(UsePreamp,T_0*(10^(Preamp!AE35/10)-1),0)</f>
        <v>438.4470651377784</v>
      </c>
      <c r="F34" s="92">
        <f>T_0*(10^((FieldFox!B34-kT0dB)/10)-1)</f>
        <v>11189.742086492277</v>
      </c>
      <c r="G34" s="93">
        <f>IF(UsePreamp,10^(Preamp!AD35/10),1)</f>
        <v>102.49719962814743</v>
      </c>
      <c r="H34" s="94">
        <f t="shared" si="2"/>
        <v>2.7450636295182368E-8</v>
      </c>
      <c r="I34" s="94">
        <f t="shared" si="20"/>
        <v>4.2618097463845583E-9</v>
      </c>
      <c r="J34" s="94">
        <f t="shared" si="21"/>
        <v>5.6610259422862112E-10</v>
      </c>
      <c r="K34" s="95">
        <f t="shared" si="3"/>
        <v>438.44706513777851</v>
      </c>
      <c r="L34" s="93">
        <f t="shared" si="4"/>
        <v>102.49719962814743</v>
      </c>
      <c r="M34" s="94">
        <f t="shared" si="22"/>
        <v>2.2149567605146193E-9</v>
      </c>
      <c r="N34" s="94">
        <f t="shared" si="23"/>
        <v>2.2149567605146184E-9</v>
      </c>
      <c r="O34" s="94">
        <f t="shared" si="24"/>
        <v>2.4684166016759127E-8</v>
      </c>
      <c r="P34" s="91">
        <f t="shared" si="5"/>
        <v>1.0644853444746147</v>
      </c>
      <c r="Q34" s="94">
        <f t="shared" si="6"/>
        <v>6.4485344474614736E-2</v>
      </c>
      <c r="R34" s="94">
        <f t="shared" si="7"/>
        <v>3.2576851587152954E-13</v>
      </c>
      <c r="S34" s="91">
        <v>-1</v>
      </c>
      <c r="T34" s="93">
        <f>FieldFox!AD34</f>
        <v>5.5</v>
      </c>
      <c r="U34" s="93">
        <f>FieldFox!AC34</f>
        <v>4.16729052851717</v>
      </c>
      <c r="V34" s="93">
        <f>FieldFox!AE34</f>
        <v>1.3327094714828294</v>
      </c>
      <c r="W34" s="94">
        <f t="shared" si="8"/>
        <v>1.8054045564434553E-4</v>
      </c>
      <c r="X34" s="94">
        <f t="shared" si="9"/>
        <v>2.0740966472059677E-4</v>
      </c>
      <c r="Y34" s="94">
        <f t="shared" si="10"/>
        <v>3.667652129096455E-4</v>
      </c>
      <c r="Z34" s="91">
        <f>IF(UsePreamp,Preamp!AF35,FieldFox!D34)</f>
        <v>0.3981071705534972</v>
      </c>
      <c r="AA34" s="91">
        <f t="shared" si="11"/>
        <v>0.40853898265363492</v>
      </c>
      <c r="AB34" s="91">
        <f>'User Cal. Noise Std'!AC35</f>
        <v>0.22</v>
      </c>
      <c r="AC34" s="91">
        <f>'User Cal. Noise Std'!AD35</f>
        <v>0.12</v>
      </c>
      <c r="AD34" s="91">
        <f>IF(UsePreamp,Preamp!AH35,0)</f>
        <v>0</v>
      </c>
      <c r="AE34" s="91">
        <f>DUT!AG35</f>
        <v>0.31622776601683794</v>
      </c>
      <c r="AF34" s="94">
        <f t="shared" si="12"/>
        <v>1.7664633783124782E-9</v>
      </c>
      <c r="AG34" s="94">
        <f t="shared" si="13"/>
        <v>0</v>
      </c>
      <c r="AH34" s="91">
        <f t="shared" si="25"/>
        <v>1.7664633783124782E-9</v>
      </c>
      <c r="AI34" s="94">
        <f t="shared" si="14"/>
        <v>0</v>
      </c>
      <c r="AJ34" s="94">
        <f t="shared" si="15"/>
        <v>0</v>
      </c>
      <c r="AK34" s="91">
        <f t="shared" si="26"/>
        <v>0</v>
      </c>
      <c r="AL34" s="94">
        <f t="shared" si="16"/>
        <v>8.190459723340371E-13</v>
      </c>
      <c r="AM34" s="94">
        <f t="shared" si="27"/>
        <v>0</v>
      </c>
      <c r="AN34" s="91">
        <f t="shared" si="28"/>
        <v>8.190459723340371E-13</v>
      </c>
      <c r="AO34" s="94">
        <f t="shared" si="17"/>
        <v>3.6714906730418555E-13</v>
      </c>
      <c r="AP34" s="94">
        <f t="shared" si="29"/>
        <v>1.1391099945227184E-10</v>
      </c>
      <c r="AQ34" s="94">
        <f t="shared" si="30"/>
        <v>1.1391159113388374E-10</v>
      </c>
      <c r="AR34" s="94">
        <f t="shared" si="18"/>
        <v>2.0762673850096286E-13</v>
      </c>
      <c r="AS34" s="94">
        <f>B34*(10^('User Cal. Noise Std'!AB35/(ENRconf*10))-1)*R34</f>
        <v>1.8431792574418611E-11</v>
      </c>
      <c r="AT34" s="91">
        <f t="shared" si="31"/>
        <v>1.1539625434704036E-10</v>
      </c>
      <c r="AU34" s="93">
        <f>NseMeas!H34</f>
        <v>438.4470651377784</v>
      </c>
      <c r="AV34" s="93">
        <f>nSD*NseMeas!X34*AT34</f>
        <v>0.45684999317636582</v>
      </c>
      <c r="AW34" s="93">
        <f t="shared" si="32"/>
        <v>2.7228504358856264E-3</v>
      </c>
      <c r="AX34" s="93">
        <f>nSD*NseMeas!X34*AL34</f>
        <v>3.2425761909622296E-3</v>
      </c>
      <c r="AY34" s="93">
        <f t="shared" si="33"/>
        <v>1.9331944350998799E-5</v>
      </c>
      <c r="AZ34" s="93">
        <f>nSD*NseMeas!X34*AM34</f>
        <v>0</v>
      </c>
      <c r="BA34" s="93">
        <f t="shared" si="34"/>
        <v>0</v>
      </c>
      <c r="BB34" s="93">
        <f>nSD*NseMeas!X34*AO34</f>
        <v>1.4535311379188468E-3</v>
      </c>
      <c r="BC34" s="93">
        <f t="shared" si="35"/>
        <v>8.6658310931085254E-6</v>
      </c>
      <c r="BD34" s="93">
        <f>nSD*NseMeas!X34*AP34</f>
        <v>0.45096991767149253</v>
      </c>
      <c r="BE34" s="93">
        <f t="shared" si="36"/>
        <v>2.6878157133072068E-3</v>
      </c>
      <c r="BF34" s="93">
        <f>nSD*NseMeas!X34*AR34</f>
        <v>8.219874605473168E-4</v>
      </c>
      <c r="BG34" s="93">
        <f t="shared" si="37"/>
        <v>4.9006226257732017E-6</v>
      </c>
      <c r="BH34" s="91">
        <f t="shared" si="38"/>
        <v>3.6472889258176142E-3</v>
      </c>
      <c r="BI34" s="93">
        <f t="shared" si="39"/>
        <v>2.1744798828528964E-5</v>
      </c>
    </row>
    <row r="35" spans="1:61">
      <c r="A35" s="91">
        <f t="shared" si="19"/>
        <v>15.94000000000001</v>
      </c>
      <c r="B35" s="92">
        <f>T_0*(1+10^('User Cal. Noise Std'!AA36/10))</f>
        <v>4886.1902581372296</v>
      </c>
      <c r="C35" s="92">
        <f t="shared" si="0"/>
        <v>296</v>
      </c>
      <c r="D35" s="93">
        <f t="shared" si="1"/>
        <v>296</v>
      </c>
      <c r="E35" s="92">
        <f>IF(UsePreamp,T_0*(10^(Preamp!AE36/10)-1),0)</f>
        <v>438.4470651377784</v>
      </c>
      <c r="F35" s="92">
        <f>T_0*(10^((FieldFox!B35-kT0dB)/10)-1)</f>
        <v>11189.742086492277</v>
      </c>
      <c r="G35" s="93">
        <f>IF(UsePreamp,10^(Preamp!AD36/10),1)</f>
        <v>105.78887531675092</v>
      </c>
      <c r="H35" s="94">
        <f t="shared" si="2"/>
        <v>2.8314495881707082E-8</v>
      </c>
      <c r="I35" s="94">
        <f t="shared" si="20"/>
        <v>4.380965117820067E-9</v>
      </c>
      <c r="J35" s="94">
        <f t="shared" si="21"/>
        <v>5.6610259422862112E-10</v>
      </c>
      <c r="K35" s="95">
        <f t="shared" si="3"/>
        <v>438.44706513777822</v>
      </c>
      <c r="L35" s="93">
        <f t="shared" si="4"/>
        <v>105.78887531675092</v>
      </c>
      <c r="M35" s="94">
        <f t="shared" si="22"/>
        <v>2.2860896241084025E-9</v>
      </c>
      <c r="N35" s="94">
        <f t="shared" si="23"/>
        <v>2.2860896241084033E-9</v>
      </c>
      <c r="O35" s="94">
        <f t="shared" si="24"/>
        <v>2.5476892739690056E-8</v>
      </c>
      <c r="P35" s="91">
        <f t="shared" si="5"/>
        <v>1.0644853444746147</v>
      </c>
      <c r="Q35" s="94">
        <f t="shared" si="6"/>
        <v>6.4485344474614736E-2</v>
      </c>
      <c r="R35" s="94">
        <f t="shared" si="7"/>
        <v>3.3623050222527459E-13</v>
      </c>
      <c r="S35" s="91">
        <v>-1</v>
      </c>
      <c r="T35" s="93">
        <f>FieldFox!AD35</f>
        <v>5.5</v>
      </c>
      <c r="U35" s="93">
        <f>FieldFox!AC35</f>
        <v>4.1983277948035607</v>
      </c>
      <c r="V35" s="93">
        <f>FieldFox!AE35</f>
        <v>1.3016722051964393</v>
      </c>
      <c r="W35" s="94">
        <f t="shared" si="8"/>
        <v>1.8054045564434553E-4</v>
      </c>
      <c r="X35" s="94">
        <f t="shared" si="9"/>
        <v>2.0664157667485717E-4</v>
      </c>
      <c r="Y35" s="94">
        <f t="shared" si="10"/>
        <v>3.7111205609263509E-4</v>
      </c>
      <c r="Z35" s="91">
        <f>IF(UsePreamp,Preamp!AF36,FieldFox!D35)</f>
        <v>0.3981071705534972</v>
      </c>
      <c r="AA35" s="91">
        <f t="shared" si="11"/>
        <v>0.40853898265363492</v>
      </c>
      <c r="AB35" s="91">
        <f>'User Cal. Noise Std'!AC36</f>
        <v>0.22</v>
      </c>
      <c r="AC35" s="91">
        <f>'User Cal. Noise Std'!AD36</f>
        <v>0.12</v>
      </c>
      <c r="AD35" s="91">
        <f>IF(UsePreamp,Preamp!AH36,0)</f>
        <v>0</v>
      </c>
      <c r="AE35" s="91">
        <f>DUT!AG36</f>
        <v>0.31622776601683794</v>
      </c>
      <c r="AF35" s="94">
        <f t="shared" si="12"/>
        <v>1.8231929726652468E-9</v>
      </c>
      <c r="AG35" s="94">
        <f t="shared" si="13"/>
        <v>0</v>
      </c>
      <c r="AH35" s="91">
        <f t="shared" si="25"/>
        <v>1.8231929726652468E-9</v>
      </c>
      <c r="AI35" s="94">
        <f t="shared" si="14"/>
        <v>0</v>
      </c>
      <c r="AJ35" s="94">
        <f t="shared" si="15"/>
        <v>0</v>
      </c>
      <c r="AK35" s="91">
        <f t="shared" si="26"/>
        <v>0</v>
      </c>
      <c r="AL35" s="94">
        <f t="shared" si="16"/>
        <v>8.419455696562807E-13</v>
      </c>
      <c r="AM35" s="94">
        <f t="shared" si="27"/>
        <v>0</v>
      </c>
      <c r="AN35" s="91">
        <f t="shared" si="28"/>
        <v>8.419455696562807E-13</v>
      </c>
      <c r="AO35" s="94">
        <f t="shared" si="17"/>
        <v>3.773006598512403E-13</v>
      </c>
      <c r="AP35" s="94">
        <f t="shared" si="29"/>
        <v>1.175692268860153E-10</v>
      </c>
      <c r="AQ35" s="94">
        <f t="shared" si="30"/>
        <v>1.1756983229707894E-10</v>
      </c>
      <c r="AR35" s="94">
        <f t="shared" si="18"/>
        <v>2.1008749770355829E-13</v>
      </c>
      <c r="AS35" s="94">
        <f>B35*(10^('User Cal. Noise Std'!AB36/(ENRconf*10))-1)*R35</f>
        <v>1.9023725658782948E-11</v>
      </c>
      <c r="AT35" s="91">
        <f t="shared" si="31"/>
        <v>1.1910214361380259E-10</v>
      </c>
      <c r="AU35" s="93">
        <f>NseMeas!H35</f>
        <v>438.4470651377784</v>
      </c>
      <c r="AV35" s="93">
        <f>nSD*NseMeas!X35*AT35</f>
        <v>0.45684985197775191</v>
      </c>
      <c r="AW35" s="93">
        <f t="shared" si="32"/>
        <v>2.7228495945977975E-3</v>
      </c>
      <c r="AX35" s="93">
        <f>nSD*NseMeas!X35*AL35</f>
        <v>3.2295196140048328E-3</v>
      </c>
      <c r="AY35" s="93">
        <f t="shared" si="33"/>
        <v>1.9254102399697312E-5</v>
      </c>
      <c r="AZ35" s="93">
        <f>nSD*NseMeas!X35*AM35</f>
        <v>0</v>
      </c>
      <c r="BA35" s="93">
        <f t="shared" si="34"/>
        <v>0</v>
      </c>
      <c r="BB35" s="93">
        <f>nSD*NseMeas!X35*AO35</f>
        <v>1.4472430585554261E-3</v>
      </c>
      <c r="BC35" s="93">
        <f t="shared" si="35"/>
        <v>8.6283421274542452E-6</v>
      </c>
      <c r="BD35" s="93">
        <f>nSD*NseMeas!X35*AP35</f>
        <v>0.45096991767149247</v>
      </c>
      <c r="BE35" s="93">
        <f t="shared" si="36"/>
        <v>2.6878157133072068E-3</v>
      </c>
      <c r="BF35" s="93">
        <f>nSD*NseMeas!X35*AR35</f>
        <v>8.0584983037302856E-4</v>
      </c>
      <c r="BG35" s="93">
        <f t="shared" si="37"/>
        <v>4.8044114357416495E-6</v>
      </c>
      <c r="BH35" s="91">
        <f t="shared" si="38"/>
        <v>3.6295596643244519E-3</v>
      </c>
      <c r="BI35" s="93">
        <f t="shared" si="39"/>
        <v>2.1639098877057476E-5</v>
      </c>
    </row>
    <row r="36" spans="1:61">
      <c r="A36" s="91">
        <f t="shared" si="19"/>
        <v>16.468000000000011</v>
      </c>
      <c r="B36" s="92">
        <f>T_0*(1+10^('User Cal. Noise Std'!AA37/10))</f>
        <v>4886.1902581372296</v>
      </c>
      <c r="C36" s="92">
        <f t="shared" si="0"/>
        <v>296</v>
      </c>
      <c r="D36" s="93">
        <f t="shared" si="1"/>
        <v>296</v>
      </c>
      <c r="E36" s="92">
        <f>IF(UsePreamp,T_0*(10^(Preamp!AE37/10)-1),0)</f>
        <v>438.4470651377784</v>
      </c>
      <c r="F36" s="92">
        <f>T_0*(10^((FieldFox!B36-kT0dB)/10)-1)</f>
        <v>11189.742086492277</v>
      </c>
      <c r="G36" s="93">
        <f>IF(UsePreamp,10^(Preamp!AD37/10),1)</f>
        <v>109.18626246750405</v>
      </c>
      <c r="H36" s="94">
        <f t="shared" si="2"/>
        <v>2.9206098134467012E-8</v>
      </c>
      <c r="I36" s="94">
        <f t="shared" si="20"/>
        <v>4.5039471385761773E-9</v>
      </c>
      <c r="J36" s="94">
        <f t="shared" si="21"/>
        <v>5.6610259422862112E-10</v>
      </c>
      <c r="K36" s="95">
        <f t="shared" si="3"/>
        <v>438.44706513777851</v>
      </c>
      <c r="L36" s="93">
        <f t="shared" si="4"/>
        <v>109.18626246750405</v>
      </c>
      <c r="M36" s="94">
        <f t="shared" si="22"/>
        <v>2.3595069044335881E-9</v>
      </c>
      <c r="N36" s="94">
        <f t="shared" si="23"/>
        <v>2.3595069044335877E-9</v>
      </c>
      <c r="O36" s="94">
        <f t="shared" si="24"/>
        <v>2.6295077712124805E-8</v>
      </c>
      <c r="P36" s="91">
        <f t="shared" si="5"/>
        <v>1.0644853444746147</v>
      </c>
      <c r="Q36" s="94">
        <f t="shared" si="6"/>
        <v>6.4485344474614736E-2</v>
      </c>
      <c r="R36" s="94">
        <f t="shared" si="7"/>
        <v>3.4702847303771727E-13</v>
      </c>
      <c r="S36" s="91">
        <v>-1</v>
      </c>
      <c r="T36" s="93">
        <f>FieldFox!AD36</f>
        <v>5.5</v>
      </c>
      <c r="U36" s="93">
        <f>FieldFox!AC36</f>
        <v>4.2288813717808509</v>
      </c>
      <c r="V36" s="93">
        <f>FieldFox!AE36</f>
        <v>1.2711186282191493</v>
      </c>
      <c r="W36" s="94">
        <f t="shared" si="8"/>
        <v>1.8054045564434553E-4</v>
      </c>
      <c r="X36" s="94">
        <f t="shared" si="9"/>
        <v>2.0589373296343855E-4</v>
      </c>
      <c r="Y36" s="94">
        <f t="shared" si="10"/>
        <v>3.7554573769571817E-4</v>
      </c>
      <c r="Z36" s="91">
        <f>IF(UsePreamp,Preamp!AF37,FieldFox!D36)</f>
        <v>0.3981071705534972</v>
      </c>
      <c r="AA36" s="91">
        <f t="shared" si="11"/>
        <v>0.40853898265363492</v>
      </c>
      <c r="AB36" s="91">
        <f>'User Cal. Noise Std'!AC37</f>
        <v>0.22</v>
      </c>
      <c r="AC36" s="91">
        <f>'User Cal. Noise Std'!AD37</f>
        <v>0.12</v>
      </c>
      <c r="AD36" s="91">
        <f>IF(UsePreamp,Preamp!AH37,0)</f>
        <v>0</v>
      </c>
      <c r="AE36" s="91">
        <f>DUT!AG37</f>
        <v>0.31622776601683794</v>
      </c>
      <c r="AF36" s="94">
        <f t="shared" si="12"/>
        <v>1.8817444258320394E-9</v>
      </c>
      <c r="AG36" s="94">
        <f t="shared" si="13"/>
        <v>0</v>
      </c>
      <c r="AH36" s="91">
        <f t="shared" si="25"/>
        <v>1.8817444258320394E-9</v>
      </c>
      <c r="AI36" s="94">
        <f t="shared" si="14"/>
        <v>0</v>
      </c>
      <c r="AJ36" s="94">
        <f t="shared" si="15"/>
        <v>0</v>
      </c>
      <c r="AK36" s="91">
        <f t="shared" si="26"/>
        <v>0</v>
      </c>
      <c r="AL36" s="94">
        <f t="shared" si="16"/>
        <v>8.6558058265873681E-13</v>
      </c>
      <c r="AM36" s="94">
        <f t="shared" si="27"/>
        <v>0</v>
      </c>
      <c r="AN36" s="91">
        <f t="shared" si="28"/>
        <v>8.6558058265873681E-13</v>
      </c>
      <c r="AO36" s="94">
        <f t="shared" si="17"/>
        <v>3.8777311193678149E-13</v>
      </c>
      <c r="AP36" s="94">
        <f t="shared" si="29"/>
        <v>1.2134493751296519E-10</v>
      </c>
      <c r="AQ36" s="94">
        <f t="shared" si="30"/>
        <v>1.2134555710042196E-10</v>
      </c>
      <c r="AR36" s="94">
        <f t="shared" si="18"/>
        <v>2.1259741636104733E-13</v>
      </c>
      <c r="AS36" s="94">
        <f>B36*(10^('User Cal. Noise Std'!AB37/(ENRconf*10))-1)*R36</f>
        <v>1.9634668547806817E-11</v>
      </c>
      <c r="AT36" s="91">
        <f t="shared" si="31"/>
        <v>1.2292704691970973E-10</v>
      </c>
      <c r="AU36" s="93">
        <f>NseMeas!H36</f>
        <v>438.4470651377784</v>
      </c>
      <c r="AV36" s="93">
        <f>nSD*NseMeas!X36*AT36</f>
        <v>0.45684971590230611</v>
      </c>
      <c r="AW36" s="93">
        <f t="shared" si="32"/>
        <v>2.7228487838358963E-3</v>
      </c>
      <c r="AX36" s="93">
        <f>nSD*NseMeas!X36*AL36</f>
        <v>3.2168692992070314E-3</v>
      </c>
      <c r="AY36" s="93">
        <f t="shared" si="33"/>
        <v>1.9178682539531572E-5</v>
      </c>
      <c r="AZ36" s="93">
        <f>nSD*NseMeas!X36*AM36</f>
        <v>0</v>
      </c>
      <c r="BA36" s="93">
        <f t="shared" si="34"/>
        <v>0</v>
      </c>
      <c r="BB36" s="93">
        <f>nSD*NseMeas!X36*AO36</f>
        <v>1.4411314715676901E-3</v>
      </c>
      <c r="BC36" s="93">
        <f t="shared" si="35"/>
        <v>8.591905392060213E-6</v>
      </c>
      <c r="BD36" s="93">
        <f>nSD*NseMeas!X36*AP36</f>
        <v>0.4509699176714928</v>
      </c>
      <c r="BE36" s="93">
        <f t="shared" si="36"/>
        <v>2.6878157133072068E-3</v>
      </c>
      <c r="BF36" s="93">
        <f>nSD*NseMeas!X36*AR36</f>
        <v>7.9010333120217529E-4</v>
      </c>
      <c r="BG36" s="93">
        <f t="shared" si="37"/>
        <v>4.7105321333706079E-6</v>
      </c>
      <c r="BH36" s="91">
        <f t="shared" si="38"/>
        <v>3.6123913520686498E-3</v>
      </c>
      <c r="BI36" s="93">
        <f t="shared" si="39"/>
        <v>2.1536743241336191E-5</v>
      </c>
    </row>
    <row r="37" spans="1:61">
      <c r="A37" s="91">
        <f t="shared" si="19"/>
        <v>16.996000000000009</v>
      </c>
      <c r="B37" s="92">
        <f>T_0*(1+10^('User Cal. Noise Std'!AA38/10))</f>
        <v>4886.1902581372296</v>
      </c>
      <c r="C37" s="92">
        <f t="shared" ref="C37:C68" si="40">CalAmbient</f>
        <v>296</v>
      </c>
      <c r="D37" s="93">
        <f t="shared" ref="D37:D68" si="41">CalAmbient+FFAmbientOffset</f>
        <v>296</v>
      </c>
      <c r="E37" s="92">
        <f>IF(UsePreamp,T_0*(10^(Preamp!AE38/10)-1),0)</f>
        <v>438.4470651377784</v>
      </c>
      <c r="F37" s="92">
        <f>T_0*(10^((FieldFox!B37-kT0dB)/10)-1)</f>
        <v>11189.742086492277</v>
      </c>
      <c r="G37" s="93">
        <f>IF(UsePreamp,10^(Preamp!AD38/10),1)</f>
        <v>112.6927559814504</v>
      </c>
      <c r="H37" s="94">
        <f t="shared" ref="H37:H68" si="42">((B37+E37)*G37+F37)*k_mw*$F$2</f>
        <v>3.0126334003266836E-8</v>
      </c>
      <c r="I37" s="94">
        <f t="shared" ref="I37:I68" si="43">((C37+E37)*G37+F37)*k_mw*$F$2</f>
        <v>4.6308787006790471E-9</v>
      </c>
      <c r="J37" s="94">
        <f t="shared" ref="J37:J68" si="44">MIN(I37,(D37+F37)*k_mw*$F$2)</f>
        <v>5.6610259422862112E-10</v>
      </c>
      <c r="K37" s="95">
        <f t="shared" ref="K37:K68" si="45">(B37*I37-C37*H37-(B37-C37)*(J37-C37*k_mw*$F$2))/(H37-I37)</f>
        <v>438.44706513777834</v>
      </c>
      <c r="L37" s="93">
        <f t="shared" ref="L37:L68" si="46">(H37-I37)/(B37-C37)/k_mw/$F$2</f>
        <v>112.69275598145042</v>
      </c>
      <c r="M37" s="94">
        <f t="shared" ref="M37:M68" si="47">((B37*I37-C37*H37)/(B37-C37))-(J37-C37*k_mw*$F$2)</f>
        <v>2.4352819650459096E-9</v>
      </c>
      <c r="N37" s="94">
        <f t="shared" ref="N37:N68" si="48">E37*G37*k_mw*BW</f>
        <v>2.43528196504591E-9</v>
      </c>
      <c r="O37" s="94">
        <f t="shared" ref="O37:O68" si="49">B37*G37*k_mw*BW</f>
        <v>2.7139538520312307E-8</v>
      </c>
      <c r="P37" s="91">
        <f t="shared" ref="P37:P68" si="50">B37/(B37-C37)</f>
        <v>1.0644853444746147</v>
      </c>
      <c r="Q37" s="94">
        <f t="shared" ref="Q37:Q68" si="51">C37/(B37-C37)</f>
        <v>6.4485344474614736E-2</v>
      </c>
      <c r="R37" s="94">
        <f t="shared" ref="R37:R68" si="52">(C37*(H37-I37))/((B37-C37)^2)</f>
        <v>3.5817321837803542E-13</v>
      </c>
      <c r="S37" s="91">
        <v>-1</v>
      </c>
      <c r="T37" s="93">
        <f>FieldFox!AD37</f>
        <v>5.5</v>
      </c>
      <c r="U37" s="93">
        <f>FieldFox!AC37</f>
        <v>4.2589475729027786</v>
      </c>
      <c r="V37" s="93">
        <f>FieldFox!AE37</f>
        <v>1.2410524270972212</v>
      </c>
      <c r="W37" s="94">
        <f t="shared" ref="W37:W68" si="53">Jitter1H1s/SQRT(BW*T37)</f>
        <v>1.8054045564434553E-4</v>
      </c>
      <c r="X37" s="94">
        <f t="shared" ref="X37:X68" si="54">Jitter1H1s/SQRT(BW*U37)</f>
        <v>2.0516568848420153E-4</v>
      </c>
      <c r="Y37" s="94">
        <f t="shared" ref="Y37:Y68" si="55">Jitter1H1s/SQRT(BW*V37)</f>
        <v>3.8006757056272483E-4</v>
      </c>
      <c r="Z37" s="91">
        <f>IF(UsePreamp,Preamp!AF38,FieldFox!D37)</f>
        <v>0.3981071705534972</v>
      </c>
      <c r="AA37" s="91">
        <f t="shared" ref="AA37:AA68" si="56">IF(UsePreamp,PreampGamConf,MagLimited)</f>
        <v>0.40853898265363492</v>
      </c>
      <c r="AB37" s="91">
        <f>'User Cal. Noise Std'!AC38</f>
        <v>0.22</v>
      </c>
      <c r="AC37" s="91">
        <f>'User Cal. Noise Std'!AD38</f>
        <v>0.12</v>
      </c>
      <c r="AD37" s="91">
        <f>IF(UsePreamp,Preamp!AH38,0)</f>
        <v>0</v>
      </c>
      <c r="AE37" s="91">
        <f>DUT!AG38</f>
        <v>0.31622776601683794</v>
      </c>
      <c r="AF37" s="94">
        <f t="shared" ref="AF37:AF68" si="57">O37*2*SQRT(2)*Z37*AA37*AB37*NseSrcConf</f>
        <v>1.9421762464198035E-9</v>
      </c>
      <c r="AG37" s="94">
        <f t="shared" ref="AG37:AG68" si="58">N37*2*SQRT(2)*AD37*AA37*AB37*NseSrcConf</f>
        <v>0</v>
      </c>
      <c r="AH37" s="91">
        <f t="shared" si="25"/>
        <v>1.9421762464198035E-9</v>
      </c>
      <c r="AI37" s="94">
        <f t="shared" ref="AI37:AI68" si="59">N37*2*SQRT(2)*AD37*AA37*AC37*NseSrcConf</f>
        <v>0</v>
      </c>
      <c r="AJ37" s="94">
        <f t="shared" ref="AJ37:AJ68" si="60">N37*2*SQRT(2)*AD37*AA37*AE37*DUTgamConf</f>
        <v>0</v>
      </c>
      <c r="AK37" s="91">
        <f t="shared" si="26"/>
        <v>0</v>
      </c>
      <c r="AL37" s="94">
        <f t="shared" ref="AL37:AL68" si="61">W37*I37*P37</f>
        <v>8.899746290590058E-13</v>
      </c>
      <c r="AM37" s="94">
        <f t="shared" si="27"/>
        <v>0</v>
      </c>
      <c r="AN37" s="91">
        <f t="shared" si="28"/>
        <v>8.899746290590058E-13</v>
      </c>
      <c r="AO37" s="94">
        <f t="shared" ref="AO37:AO68" si="62">X37*H37*Q37</f>
        <v>3.9857682450376069E-13</v>
      </c>
      <c r="AP37" s="94">
        <f t="shared" si="29"/>
        <v>1.2524190428079526E-10</v>
      </c>
      <c r="AQ37" s="94">
        <f t="shared" si="30"/>
        <v>1.2524253850575258E-10</v>
      </c>
      <c r="AR37" s="94">
        <f t="shared" ref="AR37:AR68" si="63">ABS(Y37*J37*S37)</f>
        <v>2.1515723767772802E-13</v>
      </c>
      <c r="AS37" s="94">
        <f>B37*(10^('User Cal. Noise Std'!AB38/(ENRconf*10))-1)*R37</f>
        <v>2.0265231737309363E-11</v>
      </c>
      <c r="AT37" s="91">
        <f t="shared" si="31"/>
        <v>1.2687478636911695E-10</v>
      </c>
      <c r="AU37" s="93">
        <f>NseMeas!H37</f>
        <v>438.4470651377784</v>
      </c>
      <c r="AV37" s="93">
        <f>nSD*NseMeas!X37*AT37</f>
        <v>0.45684958474591442</v>
      </c>
      <c r="AW37" s="93">
        <f t="shared" si="32"/>
        <v>2.7228480023817766E-3</v>
      </c>
      <c r="AX37" s="93">
        <f>nSD*NseMeas!X37*AL37</f>
        <v>3.2046126055111472E-3</v>
      </c>
      <c r="AY37" s="93">
        <f t="shared" si="33"/>
        <v>1.9105609404910477E-5</v>
      </c>
      <c r="AZ37" s="93">
        <f>nSD*NseMeas!X37*AM37</f>
        <v>0</v>
      </c>
      <c r="BA37" s="93">
        <f t="shared" si="34"/>
        <v>0</v>
      </c>
      <c r="BB37" s="93">
        <f>nSD*NseMeas!X37*AO37</f>
        <v>1.4351918294792999E-3</v>
      </c>
      <c r="BC37" s="93">
        <f t="shared" si="35"/>
        <v>8.5564937778325842E-6</v>
      </c>
      <c r="BD37" s="93">
        <f>nSD*NseMeas!X37*AP37</f>
        <v>0.45096991767149258</v>
      </c>
      <c r="BE37" s="93">
        <f t="shared" si="36"/>
        <v>2.6878157133072068E-3</v>
      </c>
      <c r="BF37" s="93">
        <f>nSD*NseMeas!X37*AR37</f>
        <v>7.7473623799593865E-4</v>
      </c>
      <c r="BG37" s="93">
        <f t="shared" si="37"/>
        <v>4.6189148157519196E-6</v>
      </c>
      <c r="BH37" s="91">
        <f t="shared" si="38"/>
        <v>3.5957660904554377E-3</v>
      </c>
      <c r="BI37" s="93">
        <f t="shared" si="39"/>
        <v>2.1437625214472494E-5</v>
      </c>
    </row>
    <row r="38" spans="1:61">
      <c r="A38" s="91">
        <f t="shared" ref="A38:A69" si="64">MIN(StopFreqGHz+0.000001,A37+FreqStep)</f>
        <v>17.524000000000008</v>
      </c>
      <c r="B38" s="92">
        <f>T_0*(1+10^('User Cal. Noise Std'!AA39/10))</f>
        <v>4886.1902581372296</v>
      </c>
      <c r="C38" s="92">
        <f t="shared" si="40"/>
        <v>296</v>
      </c>
      <c r="D38" s="93">
        <f t="shared" si="41"/>
        <v>296</v>
      </c>
      <c r="E38" s="92">
        <f>IF(UsePreamp,T_0*(10^(Preamp!AE39/10)-1),0)</f>
        <v>438.4470651377784</v>
      </c>
      <c r="F38" s="92">
        <f>T_0*(10^((FieldFox!B38-kT0dB)/10)-1)</f>
        <v>11189.742086492277</v>
      </c>
      <c r="G38" s="93">
        <f>IF(UsePreamp,10^(Preamp!AD39/10),1)</f>
        <v>116.31185978615582</v>
      </c>
      <c r="H38" s="94">
        <f t="shared" si="42"/>
        <v>3.1076123050573991E-8</v>
      </c>
      <c r="I38" s="94">
        <f t="shared" si="43"/>
        <v>4.7618866428060228E-9</v>
      </c>
      <c r="J38" s="94">
        <f t="shared" si="44"/>
        <v>5.6610259422862112E-10</v>
      </c>
      <c r="K38" s="95">
        <f t="shared" si="45"/>
        <v>438.44706513777828</v>
      </c>
      <c r="L38" s="93">
        <f t="shared" si="46"/>
        <v>116.31185978615582</v>
      </c>
      <c r="M38" s="94">
        <f t="shared" si="47"/>
        <v>2.5134905255560353E-9</v>
      </c>
      <c r="N38" s="94">
        <f t="shared" si="48"/>
        <v>2.5134905255560365E-9</v>
      </c>
      <c r="O38" s="94">
        <f t="shared" si="49"/>
        <v>2.8011119007109333E-8</v>
      </c>
      <c r="P38" s="91">
        <f t="shared" si="50"/>
        <v>1.0644853444746147</v>
      </c>
      <c r="Q38" s="94">
        <f t="shared" si="51"/>
        <v>6.4485344474614736E-2</v>
      </c>
      <c r="R38" s="94">
        <f t="shared" si="52"/>
        <v>3.6967587483617455E-13</v>
      </c>
      <c r="S38" s="91">
        <v>-1</v>
      </c>
      <c r="T38" s="93">
        <f>FieldFox!AD38</f>
        <v>5.5</v>
      </c>
      <c r="U38" s="93">
        <f>FieldFox!AC38</f>
        <v>4.2885233073503031</v>
      </c>
      <c r="V38" s="93">
        <f>FieldFox!AE38</f>
        <v>1.2114766926496976</v>
      </c>
      <c r="W38" s="94">
        <f t="shared" si="53"/>
        <v>1.8054045564434553E-4</v>
      </c>
      <c r="X38" s="94">
        <f t="shared" si="54"/>
        <v>2.0445700351793606E-4</v>
      </c>
      <c r="Y38" s="94">
        <f t="shared" si="55"/>
        <v>3.8467888388915415E-4</v>
      </c>
      <c r="Z38" s="91">
        <f>IF(UsePreamp,Preamp!AF39,FieldFox!D38)</f>
        <v>0.3981071705534972</v>
      </c>
      <c r="AA38" s="91">
        <f t="shared" si="56"/>
        <v>0.40853898265363492</v>
      </c>
      <c r="AB38" s="91">
        <f>'User Cal. Noise Std'!AC39</f>
        <v>0.22</v>
      </c>
      <c r="AC38" s="91">
        <f>'User Cal. Noise Std'!AD39</f>
        <v>0.12</v>
      </c>
      <c r="AD38" s="91">
        <f>IF(UsePreamp,Preamp!AH39,0)</f>
        <v>0</v>
      </c>
      <c r="AE38" s="91">
        <f>DUT!AG39</f>
        <v>0.31622776601683794</v>
      </c>
      <c r="AF38" s="94">
        <f t="shared" si="57"/>
        <v>2.0045488220269116E-9</v>
      </c>
      <c r="AG38" s="94">
        <f t="shared" si="58"/>
        <v>0</v>
      </c>
      <c r="AH38" s="91">
        <f t="shared" si="25"/>
        <v>2.0045488220269116E-9</v>
      </c>
      <c r="AI38" s="94">
        <f t="shared" si="59"/>
        <v>0</v>
      </c>
      <c r="AJ38" s="94">
        <f t="shared" si="60"/>
        <v>0</v>
      </c>
      <c r="AK38" s="91">
        <f t="shared" si="26"/>
        <v>0</v>
      </c>
      <c r="AL38" s="94">
        <f t="shared" si="61"/>
        <v>9.151520850526472E-13</v>
      </c>
      <c r="AM38" s="94">
        <f t="shared" si="27"/>
        <v>0</v>
      </c>
      <c r="AN38" s="91">
        <f t="shared" si="28"/>
        <v>9.151520850526472E-13</v>
      </c>
      <c r="AO38" s="94">
        <f t="shared" si="62"/>
        <v>4.0972253222597901E-13</v>
      </c>
      <c r="AP38" s="94">
        <f t="shared" si="29"/>
        <v>1.2926402130458857E-10</v>
      </c>
      <c r="AQ38" s="94">
        <f t="shared" si="30"/>
        <v>1.2926467064278059E-10</v>
      </c>
      <c r="AR38" s="94">
        <f t="shared" si="63"/>
        <v>2.1776771411462069E-13</v>
      </c>
      <c r="AS38" s="94">
        <f>B38*(10^('User Cal. Noise Std'!AB39/(ENRconf*10))-1)*R38</f>
        <v>2.0916045329052611E-11</v>
      </c>
      <c r="AT38" s="91">
        <f t="shared" si="31"/>
        <v>1.30949306812635E-10</v>
      </c>
      <c r="AU38" s="93">
        <f>NseMeas!H38</f>
        <v>438.4470651377784</v>
      </c>
      <c r="AV38" s="93">
        <f>nSD*NseMeas!X38*AT38</f>
        <v>0.45684945831355417</v>
      </c>
      <c r="AW38" s="93">
        <f t="shared" si="32"/>
        <v>2.7228472490741524E-3</v>
      </c>
      <c r="AX38" s="93">
        <f>nSD*NseMeas!X38*AL38</f>
        <v>3.1927372851925729E-3</v>
      </c>
      <c r="AY38" s="93">
        <f t="shared" si="33"/>
        <v>1.90348099793254E-5</v>
      </c>
      <c r="AZ38" s="93">
        <f>nSD*NseMeas!X38*AM38</f>
        <v>0</v>
      </c>
      <c r="BA38" s="93">
        <f t="shared" si="34"/>
        <v>0</v>
      </c>
      <c r="BB38" s="93">
        <f>nSD*NseMeas!X38*AO38</f>
        <v>1.4294196850856147E-3</v>
      </c>
      <c r="BC38" s="93">
        <f t="shared" si="35"/>
        <v>8.5220807687361146E-6</v>
      </c>
      <c r="BD38" s="93">
        <f>nSD*NseMeas!X38*AP38</f>
        <v>0.45096991767149247</v>
      </c>
      <c r="BE38" s="93">
        <f t="shared" si="36"/>
        <v>2.6878157133072068E-3</v>
      </c>
      <c r="BF38" s="93">
        <f>nSD*NseMeas!X38*AR38</f>
        <v>7.5973721933323064E-4</v>
      </c>
      <c r="BG38" s="93">
        <f t="shared" si="37"/>
        <v>4.5294919261742026E-6</v>
      </c>
      <c r="BH38" s="91">
        <f t="shared" si="38"/>
        <v>3.5796665558134443E-3</v>
      </c>
      <c r="BI38" s="93">
        <f t="shared" si="39"/>
        <v>2.1341641511937973E-5</v>
      </c>
    </row>
    <row r="39" spans="1:61">
      <c r="A39" s="91">
        <f t="shared" si="64"/>
        <v>18.052000000000007</v>
      </c>
      <c r="B39" s="92">
        <f>T_0*(1+10^('User Cal. Noise Std'!AA40/10))</f>
        <v>4886.1902581372296</v>
      </c>
      <c r="C39" s="92">
        <f t="shared" si="40"/>
        <v>296</v>
      </c>
      <c r="D39" s="93">
        <f t="shared" si="41"/>
        <v>296</v>
      </c>
      <c r="E39" s="92">
        <f>IF(UsePreamp,T_0*(10^(Preamp!AE40/10)-1),0)</f>
        <v>438.4470651377784</v>
      </c>
      <c r="F39" s="92">
        <f>T_0*(10^((FieldFox!B39-kT0dB)/10)-1)</f>
        <v>14162.139033528121</v>
      </c>
      <c r="G39" s="93">
        <f>IF(UsePreamp,10^(Preamp!AD40/10),1)</f>
        <v>120.04719033707164</v>
      </c>
      <c r="H39" s="94">
        <f t="shared" si="42"/>
        <v>3.2202916147143474E-8</v>
      </c>
      <c r="I39" s="94">
        <f t="shared" si="43"/>
        <v>5.0436036537667594E-9</v>
      </c>
      <c r="J39" s="94">
        <f t="shared" si="44"/>
        <v>7.1260437096389457E-10</v>
      </c>
      <c r="K39" s="95">
        <f t="shared" si="45"/>
        <v>438.44706513777828</v>
      </c>
      <c r="L39" s="93">
        <f t="shared" si="46"/>
        <v>120.04719033707167</v>
      </c>
      <c r="M39" s="94">
        <f t="shared" si="47"/>
        <v>2.5942107372937594E-9</v>
      </c>
      <c r="N39" s="94">
        <f t="shared" si="48"/>
        <v>2.5942107372937598E-9</v>
      </c>
      <c r="O39" s="94">
        <f t="shared" si="49"/>
        <v>2.8910690115205808E-8</v>
      </c>
      <c r="P39" s="91">
        <f t="shared" si="50"/>
        <v>1.0644853444746147</v>
      </c>
      <c r="Q39" s="94">
        <f t="shared" si="51"/>
        <v>6.4485344474614736E-2</v>
      </c>
      <c r="R39" s="94">
        <f t="shared" si="52"/>
        <v>3.8154793665128845E-13</v>
      </c>
      <c r="S39" s="91">
        <v>-1</v>
      </c>
      <c r="T39" s="93">
        <f>FieldFox!AD39</f>
        <v>5.5</v>
      </c>
      <c r="U39" s="93">
        <f>FieldFox!AC39</f>
        <v>4.0948317733499255</v>
      </c>
      <c r="V39" s="93">
        <f>FieldFox!AE39</f>
        <v>1.405168226650074</v>
      </c>
      <c r="W39" s="94">
        <f t="shared" si="53"/>
        <v>1.8054045564434553E-4</v>
      </c>
      <c r="X39" s="94">
        <f t="shared" si="54"/>
        <v>2.0923669268112263E-4</v>
      </c>
      <c r="Y39" s="94">
        <f t="shared" si="55"/>
        <v>3.5718377128153529E-4</v>
      </c>
      <c r="Z39" s="91">
        <f>IF(UsePreamp,Preamp!AF40,FieldFox!D39)</f>
        <v>0.3981071705534972</v>
      </c>
      <c r="AA39" s="91">
        <f t="shared" si="56"/>
        <v>0.40853898265363492</v>
      </c>
      <c r="AB39" s="91">
        <f>'User Cal. Noise Std'!AC40</f>
        <v>0.22</v>
      </c>
      <c r="AC39" s="91">
        <f>'User Cal. Noise Std'!AD40</f>
        <v>0.12</v>
      </c>
      <c r="AD39" s="91">
        <f>IF(UsePreamp,Preamp!AH40,0)</f>
        <v>0</v>
      </c>
      <c r="AE39" s="91">
        <f>DUT!AG40</f>
        <v>0.31622776601683794</v>
      </c>
      <c r="AF39" s="94">
        <f t="shared" si="57"/>
        <v>2.0689244795865599E-9</v>
      </c>
      <c r="AG39" s="94">
        <f t="shared" si="58"/>
        <v>0</v>
      </c>
      <c r="AH39" s="91">
        <f t="shared" si="25"/>
        <v>2.0689244795865599E-9</v>
      </c>
      <c r="AI39" s="94">
        <f t="shared" si="59"/>
        <v>0</v>
      </c>
      <c r="AJ39" s="94">
        <f t="shared" si="60"/>
        <v>0</v>
      </c>
      <c r="AK39" s="91">
        <f t="shared" si="26"/>
        <v>0</v>
      </c>
      <c r="AL39" s="94">
        <f t="shared" si="61"/>
        <v>9.6929321215507582E-13</v>
      </c>
      <c r="AM39" s="94">
        <f t="shared" si="27"/>
        <v>0</v>
      </c>
      <c r="AN39" s="91">
        <f t="shared" si="28"/>
        <v>9.6929321215507582E-13</v>
      </c>
      <c r="AO39" s="94">
        <f t="shared" si="62"/>
        <v>4.3450429327669403E-13</v>
      </c>
      <c r="AP39" s="94">
        <f t="shared" si="29"/>
        <v>1.3341530775810235E-10</v>
      </c>
      <c r="AQ39" s="94">
        <f t="shared" si="30"/>
        <v>1.3341601529865162E-10</v>
      </c>
      <c r="AR39" s="94">
        <f t="shared" si="63"/>
        <v>2.5453071665259004E-13</v>
      </c>
      <c r="AS39" s="94">
        <f>B39*(10^('User Cal. Noise Std'!AB40/(ENRconf*10))-1)*R39</f>
        <v>2.1587759660382132E-11</v>
      </c>
      <c r="AT39" s="91">
        <f t="shared" si="31"/>
        <v>1.351549807463318E-10</v>
      </c>
      <c r="AU39" s="93">
        <f>NseMeas!H39</f>
        <v>438.4470651377784</v>
      </c>
      <c r="AV39" s="93">
        <f>nSD*NseMeas!X39*AT39</f>
        <v>0.45685035371335686</v>
      </c>
      <c r="AW39" s="93">
        <f t="shared" si="32"/>
        <v>2.722852584032041E-3</v>
      </c>
      <c r="AX39" s="93">
        <f>nSD*NseMeas!X39*AL39</f>
        <v>3.276401242334687E-3</v>
      </c>
      <c r="AY39" s="93">
        <f t="shared" si="33"/>
        <v>1.9533605778192678E-5</v>
      </c>
      <c r="AZ39" s="93">
        <f>nSD*NseMeas!X39*AM39</f>
        <v>0</v>
      </c>
      <c r="BA39" s="93">
        <f t="shared" si="34"/>
        <v>0</v>
      </c>
      <c r="BB39" s="93">
        <f>nSD*NseMeas!X39*AO39</f>
        <v>1.468709765465431E-3</v>
      </c>
      <c r="BC39" s="93">
        <f t="shared" si="35"/>
        <v>8.7563247106143221E-6</v>
      </c>
      <c r="BD39" s="93">
        <f>nSD*NseMeas!X39*AP39</f>
        <v>0.45096991767149264</v>
      </c>
      <c r="BE39" s="93">
        <f t="shared" si="36"/>
        <v>2.6878157133072068E-3</v>
      </c>
      <c r="BF39" s="93">
        <f>nSD*NseMeas!X39*AR39</f>
        <v>8.6036376381790102E-4</v>
      </c>
      <c r="BG39" s="93">
        <f t="shared" si="37"/>
        <v>5.1294188997578036E-6</v>
      </c>
      <c r="BH39" s="91">
        <f t="shared" si="38"/>
        <v>3.6921727047954712E-3</v>
      </c>
      <c r="BI39" s="93">
        <f t="shared" si="39"/>
        <v>2.2012391084299743E-5</v>
      </c>
    </row>
    <row r="40" spans="1:61">
      <c r="A40" s="91">
        <f t="shared" si="64"/>
        <v>18.580000000000005</v>
      </c>
      <c r="B40" s="92">
        <f>T_0*(1+10^('User Cal. Noise Std'!AA41/10))</f>
        <v>4886.1902581372296</v>
      </c>
      <c r="C40" s="92">
        <f t="shared" si="40"/>
        <v>296</v>
      </c>
      <c r="D40" s="93">
        <f t="shared" si="41"/>
        <v>296</v>
      </c>
      <c r="E40" s="92">
        <f>IF(UsePreamp,T_0*(10^(Preamp!AE41/10)-1),0)</f>
        <v>627.06052144883006</v>
      </c>
      <c r="F40" s="92">
        <f>T_0*(10^((FieldFox!B40-kT0dB)/10)-1)</f>
        <v>14162.139033528121</v>
      </c>
      <c r="G40" s="93">
        <f>IF(UsePreamp,10^(Preamp!AD41/10),1)</f>
        <v>123.90248023134481</v>
      </c>
      <c r="H40" s="94">
        <f t="shared" si="42"/>
        <v>3.4366520302532367E-8</v>
      </c>
      <c r="I40" s="94">
        <f t="shared" si="43"/>
        <v>6.3349922854343348E-9</v>
      </c>
      <c r="J40" s="94">
        <f t="shared" si="44"/>
        <v>7.1260437096389457E-10</v>
      </c>
      <c r="K40" s="95">
        <f t="shared" si="45"/>
        <v>627.06052144882995</v>
      </c>
      <c r="L40" s="93">
        <f t="shared" si="46"/>
        <v>123.90248023134481</v>
      </c>
      <c r="M40" s="94">
        <f t="shared" si="47"/>
        <v>3.8293542504580599E-9</v>
      </c>
      <c r="N40" s="94">
        <f t="shared" si="48"/>
        <v>3.8293542504580599E-9</v>
      </c>
      <c r="O40" s="94">
        <f t="shared" si="49"/>
        <v>2.9839150757430409E-8</v>
      </c>
      <c r="P40" s="91">
        <f t="shared" si="50"/>
        <v>1.0644853444746147</v>
      </c>
      <c r="Q40" s="94">
        <f t="shared" si="51"/>
        <v>6.4485344474614736E-2</v>
      </c>
      <c r="R40" s="94">
        <f t="shared" si="52"/>
        <v>3.9380126719756978E-13</v>
      </c>
      <c r="S40" s="91">
        <v>-1</v>
      </c>
      <c r="T40" s="93">
        <f>FieldFox!AD40</f>
        <v>5.5</v>
      </c>
      <c r="U40" s="93">
        <f>FieldFox!AC40</f>
        <v>4.1617718406808422</v>
      </c>
      <c r="V40" s="93">
        <f>FieldFox!AE40</f>
        <v>1.3382281593191578</v>
      </c>
      <c r="W40" s="94">
        <f t="shared" si="53"/>
        <v>1.8054045564434553E-4</v>
      </c>
      <c r="X40" s="94">
        <f t="shared" si="54"/>
        <v>2.075471362149712E-4</v>
      </c>
      <c r="Y40" s="94">
        <f t="shared" si="55"/>
        <v>3.6600818438455235E-4</v>
      </c>
      <c r="Z40" s="91">
        <f>IF(UsePreamp,Preamp!AF41,FieldFox!D40)</f>
        <v>0.3981071705534972</v>
      </c>
      <c r="AA40" s="91">
        <f t="shared" si="56"/>
        <v>0.40853898265363492</v>
      </c>
      <c r="AB40" s="91">
        <f>'User Cal. Noise Std'!AC41</f>
        <v>0.22</v>
      </c>
      <c r="AC40" s="91">
        <f>'User Cal. Noise Std'!AD41</f>
        <v>0.12</v>
      </c>
      <c r="AD40" s="91">
        <f>IF(UsePreamp,Preamp!AH41,0)</f>
        <v>0</v>
      </c>
      <c r="AE40" s="91">
        <f>DUT!AG41</f>
        <v>0.31622776601683794</v>
      </c>
      <c r="AF40" s="94">
        <f t="shared" si="57"/>
        <v>2.1353675476481149E-9</v>
      </c>
      <c r="AG40" s="94">
        <f t="shared" si="58"/>
        <v>0</v>
      </c>
      <c r="AH40" s="91">
        <f t="shared" si="25"/>
        <v>2.1353675476481149E-9</v>
      </c>
      <c r="AI40" s="94">
        <f t="shared" si="59"/>
        <v>0</v>
      </c>
      <c r="AJ40" s="94">
        <f t="shared" si="60"/>
        <v>0</v>
      </c>
      <c r="AK40" s="91">
        <f t="shared" si="26"/>
        <v>0</v>
      </c>
      <c r="AL40" s="94">
        <f t="shared" si="61"/>
        <v>1.2174757262578183E-12</v>
      </c>
      <c r="AM40" s="94">
        <f t="shared" si="27"/>
        <v>0</v>
      </c>
      <c r="AN40" s="91">
        <f t="shared" si="28"/>
        <v>1.2174757262578183E-12</v>
      </c>
      <c r="AO40" s="94">
        <f t="shared" si="62"/>
        <v>4.5995286707662676E-13</v>
      </c>
      <c r="AP40" s="94">
        <f t="shared" si="29"/>
        <v>1.3769991189000199E-10</v>
      </c>
      <c r="AQ40" s="94">
        <f t="shared" si="30"/>
        <v>1.3770068006787129E-10</v>
      </c>
      <c r="AR40" s="94">
        <f t="shared" si="63"/>
        <v>2.6081903200099108E-13</v>
      </c>
      <c r="AS40" s="94">
        <f>B40*(10^('User Cal. Noise Std'!AB41/(ENRconf*10))-1)*R40</f>
        <v>2.2281045954088648E-11</v>
      </c>
      <c r="AT40" s="91">
        <f t="shared" si="31"/>
        <v>1.3949721349788293E-10</v>
      </c>
      <c r="AU40" s="93">
        <f>NseMeas!H40</f>
        <v>438.4470651377784</v>
      </c>
      <c r="AV40" s="93">
        <f>nSD*NseMeas!X40*AT40</f>
        <v>0.45685611575987178</v>
      </c>
      <c r="AW40" s="93">
        <f t="shared" si="32"/>
        <v>2.7228869153745755E-3</v>
      </c>
      <c r="AX40" s="93">
        <f>nSD*NseMeas!X40*AL40</f>
        <v>3.9872569306806773E-3</v>
      </c>
      <c r="AY40" s="93">
        <f t="shared" si="33"/>
        <v>2.3771651045108744E-5</v>
      </c>
      <c r="AZ40" s="93">
        <f>nSD*NseMeas!X40*AM40</f>
        <v>0</v>
      </c>
      <c r="BA40" s="93">
        <f t="shared" si="34"/>
        <v>0</v>
      </c>
      <c r="BB40" s="93">
        <f>nSD*NseMeas!X40*AO40</f>
        <v>1.5063546791809815E-3</v>
      </c>
      <c r="BC40" s="93">
        <f t="shared" si="35"/>
        <v>8.9807603032317111E-6</v>
      </c>
      <c r="BD40" s="93">
        <f>nSD*NseMeas!X40*AP40</f>
        <v>0.45096991767149264</v>
      </c>
      <c r="BE40" s="93">
        <f t="shared" si="36"/>
        <v>2.6878157133072068E-3</v>
      </c>
      <c r="BF40" s="93">
        <f>nSD*NseMeas!X40*AR40</f>
        <v>8.5418745570879E-4</v>
      </c>
      <c r="BG40" s="93">
        <f t="shared" si="37"/>
        <v>5.0925962752542347E-6</v>
      </c>
      <c r="BH40" s="91">
        <f t="shared" si="38"/>
        <v>4.3470631994763764E-3</v>
      </c>
      <c r="BI40" s="93">
        <f t="shared" si="39"/>
        <v>2.591677579963087E-5</v>
      </c>
    </row>
    <row r="41" spans="1:61">
      <c r="A41" s="91">
        <f t="shared" si="64"/>
        <v>19.108000000000004</v>
      </c>
      <c r="B41" s="92">
        <f>T_0*(1+10^('User Cal. Noise Std'!AA42/10))</f>
        <v>4886.1902581372296</v>
      </c>
      <c r="C41" s="92">
        <f t="shared" si="40"/>
        <v>296</v>
      </c>
      <c r="D41" s="93">
        <f t="shared" si="41"/>
        <v>296</v>
      </c>
      <c r="E41" s="92">
        <f>IF(UsePreamp,T_0*(10^(Preamp!AE42/10)-1),0)</f>
        <v>627.06052144883006</v>
      </c>
      <c r="F41" s="92">
        <f>T_0*(10^((FieldFox!B41-kT0dB)/10)-1)</f>
        <v>14162.139033528121</v>
      </c>
      <c r="G41" s="93">
        <f>IF(UsePreamp,10^(Preamp!AD42/10),1)</f>
        <v>127.88158193768224</v>
      </c>
      <c r="H41" s="94">
        <f t="shared" si="42"/>
        <v>3.5447777154506406E-8</v>
      </c>
      <c r="I41" s="94">
        <f t="shared" si="43"/>
        <v>6.5160225983123224E-9</v>
      </c>
      <c r="J41" s="94">
        <f t="shared" si="44"/>
        <v>7.1260437096389457E-10</v>
      </c>
      <c r="K41" s="95">
        <f t="shared" si="45"/>
        <v>627.0605214488296</v>
      </c>
      <c r="L41" s="93">
        <f t="shared" si="46"/>
        <v>127.88158193768226</v>
      </c>
      <c r="M41" s="94">
        <f t="shared" si="47"/>
        <v>3.9523331448572476E-9</v>
      </c>
      <c r="N41" s="94">
        <f t="shared" si="48"/>
        <v>3.9523331448572493E-9</v>
      </c>
      <c r="O41" s="94">
        <f t="shared" si="49"/>
        <v>3.0797428715005259E-8</v>
      </c>
      <c r="P41" s="91">
        <f t="shared" si="50"/>
        <v>1.0644853444746147</v>
      </c>
      <c r="Q41" s="94">
        <f t="shared" si="51"/>
        <v>6.4485344474614736E-2</v>
      </c>
      <c r="R41" s="94">
        <f t="shared" si="52"/>
        <v>4.0644811083893926E-13</v>
      </c>
      <c r="S41" s="91">
        <v>-1</v>
      </c>
      <c r="T41" s="93">
        <f>FieldFox!AD41</f>
        <v>5.5</v>
      </c>
      <c r="U41" s="93">
        <f>FieldFox!AC41</f>
        <v>4.1928904987800228</v>
      </c>
      <c r="V41" s="93">
        <f>FieldFox!AE41</f>
        <v>1.3071095012199769</v>
      </c>
      <c r="W41" s="94">
        <f t="shared" si="53"/>
        <v>1.8054045564434553E-4</v>
      </c>
      <c r="X41" s="94">
        <f t="shared" si="54"/>
        <v>2.0677551857014258E-4</v>
      </c>
      <c r="Y41" s="94">
        <f t="shared" si="55"/>
        <v>3.7033937831276601E-4</v>
      </c>
      <c r="Z41" s="91">
        <f>IF(UsePreamp,Preamp!AF42,FieldFox!D41)</f>
        <v>0.3981071705534972</v>
      </c>
      <c r="AA41" s="91">
        <f t="shared" si="56"/>
        <v>0.40853898265363492</v>
      </c>
      <c r="AB41" s="91">
        <f>'User Cal. Noise Std'!AC42</f>
        <v>0.22</v>
      </c>
      <c r="AC41" s="91">
        <f>'User Cal. Noise Std'!AD42</f>
        <v>0.12</v>
      </c>
      <c r="AD41" s="91">
        <f>IF(UsePreamp,Preamp!AH42,0)</f>
        <v>0</v>
      </c>
      <c r="AE41" s="91">
        <f>DUT!AG42</f>
        <v>0.31622776601683794</v>
      </c>
      <c r="AF41" s="94">
        <f t="shared" si="57"/>
        <v>2.2039444206585602E-9</v>
      </c>
      <c r="AG41" s="94">
        <f t="shared" si="58"/>
        <v>0</v>
      </c>
      <c r="AH41" s="91">
        <f t="shared" si="25"/>
        <v>2.2039444206585602E-9</v>
      </c>
      <c r="AI41" s="94">
        <f t="shared" si="59"/>
        <v>0</v>
      </c>
      <c r="AJ41" s="94">
        <f t="shared" si="60"/>
        <v>0</v>
      </c>
      <c r="AK41" s="91">
        <f t="shared" si="26"/>
        <v>0</v>
      </c>
      <c r="AL41" s="94">
        <f t="shared" si="61"/>
        <v>1.2522666149780083E-12</v>
      </c>
      <c r="AM41" s="94">
        <f t="shared" si="27"/>
        <v>0</v>
      </c>
      <c r="AN41" s="91">
        <f t="shared" si="28"/>
        <v>1.2522666149780083E-12</v>
      </c>
      <c r="AO41" s="94">
        <f t="shared" si="62"/>
        <v>4.7266032538091446E-13</v>
      </c>
      <c r="AP41" s="94">
        <f t="shared" si="29"/>
        <v>1.4212211516907247E-10</v>
      </c>
      <c r="AQ41" s="94">
        <f t="shared" si="30"/>
        <v>1.4212290113811456E-10</v>
      </c>
      <c r="AR41" s="94">
        <f t="shared" si="63"/>
        <v>2.639054597257284E-13</v>
      </c>
      <c r="AS41" s="94">
        <f>B41*(10^('User Cal. Noise Std'!AB42/(ENRconf*10))-1)*R41</f>
        <v>2.2996596989139421E-11</v>
      </c>
      <c r="AT41" s="91">
        <f t="shared" si="31"/>
        <v>1.4397708261651173E-10</v>
      </c>
      <c r="AU41" s="93">
        <f>NseMeas!H41</f>
        <v>438.4470651377784</v>
      </c>
      <c r="AV41" s="93">
        <f>nSD*NseMeas!X41*AT41</f>
        <v>0.4568559440373387</v>
      </c>
      <c r="AW41" s="93">
        <f t="shared" si="32"/>
        <v>2.7228858922196844E-3</v>
      </c>
      <c r="AX41" s="93">
        <f>nSD*NseMeas!X41*AL41</f>
        <v>3.9735868804623891E-3</v>
      </c>
      <c r="AY41" s="93">
        <f t="shared" si="33"/>
        <v>2.3690151713336096E-5</v>
      </c>
      <c r="AZ41" s="93">
        <f>nSD*NseMeas!X41*AM41</f>
        <v>0</v>
      </c>
      <c r="BA41" s="93">
        <f t="shared" si="34"/>
        <v>0</v>
      </c>
      <c r="BB41" s="93">
        <f>nSD*NseMeas!X41*AO41</f>
        <v>1.499805908250352E-3</v>
      </c>
      <c r="BC41" s="93">
        <f t="shared" si="35"/>
        <v>8.941717119560487E-6</v>
      </c>
      <c r="BD41" s="93">
        <f>nSD*NseMeas!X41*AP41</f>
        <v>0.45096991767149253</v>
      </c>
      <c r="BE41" s="93">
        <f t="shared" si="36"/>
        <v>2.6878157133072068E-3</v>
      </c>
      <c r="BF41" s="93">
        <f>nSD*NseMeas!X41*AR41</f>
        <v>8.3740256260601961E-4</v>
      </c>
      <c r="BG41" s="93">
        <f t="shared" si="37"/>
        <v>4.9925261620483782E-6</v>
      </c>
      <c r="BH41" s="91">
        <f t="shared" si="38"/>
        <v>4.3289783449290443E-3</v>
      </c>
      <c r="BI41" s="93">
        <f t="shared" si="39"/>
        <v>2.580895594429317E-5</v>
      </c>
    </row>
    <row r="42" spans="1:61">
      <c r="A42" s="91">
        <f t="shared" si="64"/>
        <v>19.636000000000003</v>
      </c>
      <c r="B42" s="92">
        <f>T_0*(1+10^('User Cal. Noise Std'!AA43/10))</f>
        <v>4886.1902581372296</v>
      </c>
      <c r="C42" s="92">
        <f t="shared" si="40"/>
        <v>296</v>
      </c>
      <c r="D42" s="93">
        <f t="shared" si="41"/>
        <v>296</v>
      </c>
      <c r="E42" s="92">
        <f>IF(UsePreamp,T_0*(10^(Preamp!AE43/10)-1),0)</f>
        <v>627.06052144883006</v>
      </c>
      <c r="F42" s="92">
        <f>T_0*(10^((FieldFox!B42-kT0dB)/10)-1)</f>
        <v>14162.139033528121</v>
      </c>
      <c r="G42" s="93">
        <f>IF(UsePreamp,10^(Preamp!AD43/10),1)</f>
        <v>131.98847164600204</v>
      </c>
      <c r="H42" s="94">
        <f t="shared" si="42"/>
        <v>3.6563758339493457E-8</v>
      </c>
      <c r="I42" s="94">
        <f t="shared" si="43"/>
        <v>6.7028666610484961E-9</v>
      </c>
      <c r="J42" s="94">
        <f t="shared" si="44"/>
        <v>7.1260437096389457E-10</v>
      </c>
      <c r="K42" s="95">
        <f t="shared" si="45"/>
        <v>627.06052144882995</v>
      </c>
      <c r="L42" s="93">
        <f t="shared" si="46"/>
        <v>131.98847164600207</v>
      </c>
      <c r="M42" s="94">
        <f t="shared" si="47"/>
        <v>4.0792614802009211E-9</v>
      </c>
      <c r="N42" s="94">
        <f t="shared" si="48"/>
        <v>4.079261480200922E-9</v>
      </c>
      <c r="O42" s="94">
        <f t="shared" si="49"/>
        <v>3.1786481564648642E-8</v>
      </c>
      <c r="P42" s="91">
        <f t="shared" si="50"/>
        <v>1.0644853444746147</v>
      </c>
      <c r="Q42" s="94">
        <f t="shared" si="51"/>
        <v>6.4485344474614736E-2</v>
      </c>
      <c r="R42" s="94">
        <f t="shared" si="52"/>
        <v>4.195011051644544E-13</v>
      </c>
      <c r="S42" s="91">
        <v>-1</v>
      </c>
      <c r="T42" s="93">
        <f>FieldFox!AD42</f>
        <v>5.5</v>
      </c>
      <c r="U42" s="93">
        <f>FieldFox!AC42</f>
        <v>4.2235263912851213</v>
      </c>
      <c r="V42" s="93">
        <f>FieldFox!AE42</f>
        <v>1.2764736087148787</v>
      </c>
      <c r="W42" s="94">
        <f t="shared" si="53"/>
        <v>1.8054045564434553E-4</v>
      </c>
      <c r="X42" s="94">
        <f t="shared" si="54"/>
        <v>2.0602421725101754E-4</v>
      </c>
      <c r="Y42" s="94">
        <f t="shared" si="55"/>
        <v>3.7475717705909159E-4</v>
      </c>
      <c r="Z42" s="91">
        <f>IF(UsePreamp,Preamp!AF43,FieldFox!D42)</f>
        <v>0.3981071705534972</v>
      </c>
      <c r="AA42" s="91">
        <f t="shared" si="56"/>
        <v>0.40853898265363492</v>
      </c>
      <c r="AB42" s="91">
        <f>'User Cal. Noise Std'!AC43</f>
        <v>0.22</v>
      </c>
      <c r="AC42" s="91">
        <f>'User Cal. Noise Std'!AD43</f>
        <v>0.12</v>
      </c>
      <c r="AD42" s="91">
        <f>IF(UsePreamp,Preamp!AH43,0)</f>
        <v>0</v>
      </c>
      <c r="AE42" s="91">
        <f>DUT!AG43</f>
        <v>0.31622776601683794</v>
      </c>
      <c r="AF42" s="94">
        <f t="shared" si="57"/>
        <v>2.2747236253083929E-9</v>
      </c>
      <c r="AG42" s="94">
        <f t="shared" si="58"/>
        <v>0</v>
      </c>
      <c r="AH42" s="91">
        <f t="shared" si="25"/>
        <v>2.2747236253083929E-9</v>
      </c>
      <c r="AI42" s="94">
        <f t="shared" si="59"/>
        <v>0</v>
      </c>
      <c r="AJ42" s="94">
        <f t="shared" si="60"/>
        <v>0</v>
      </c>
      <c r="AK42" s="91">
        <f t="shared" si="26"/>
        <v>0</v>
      </c>
      <c r="AL42" s="94">
        <f t="shared" si="61"/>
        <v>1.2881748056635299E-12</v>
      </c>
      <c r="AM42" s="94">
        <f t="shared" si="27"/>
        <v>0</v>
      </c>
      <c r="AN42" s="91">
        <f t="shared" si="28"/>
        <v>1.2881748056635299E-12</v>
      </c>
      <c r="AO42" s="94">
        <f t="shared" si="62"/>
        <v>4.8576936975007438E-13</v>
      </c>
      <c r="AP42" s="94">
        <f t="shared" si="29"/>
        <v>1.4668633656255617E-10</v>
      </c>
      <c r="AQ42" s="94">
        <f t="shared" si="30"/>
        <v>1.4668714090207121E-10</v>
      </c>
      <c r="AR42" s="94">
        <f t="shared" si="63"/>
        <v>2.6705360242239884E-13</v>
      </c>
      <c r="AS42" s="94">
        <f>B42*(10^('User Cal. Noise Std'!AB43/(ENRconf*10))-1)*R42</f>
        <v>2.3735127792950546E-11</v>
      </c>
      <c r="AT42" s="91">
        <f t="shared" si="31"/>
        <v>1.4860082203449716E-10</v>
      </c>
      <c r="AU42" s="93">
        <f>NseMeas!H42</f>
        <v>438.4470651377784</v>
      </c>
      <c r="AV42" s="93">
        <f>nSD*NseMeas!X42*AT42</f>
        <v>0.45685577845373621</v>
      </c>
      <c r="AW42" s="93">
        <f t="shared" si="32"/>
        <v>2.7228849056419382E-3</v>
      </c>
      <c r="AX42" s="93">
        <f>nSD*NseMeas!X42*AL42</f>
        <v>3.960342180942187E-3</v>
      </c>
      <c r="AY42" s="93">
        <f t="shared" si="33"/>
        <v>2.3611188273615944E-5</v>
      </c>
      <c r="AZ42" s="93">
        <f>nSD*NseMeas!X42*AM42</f>
        <v>0</v>
      </c>
      <c r="BA42" s="93">
        <f t="shared" si="34"/>
        <v>0</v>
      </c>
      <c r="BB42" s="93">
        <f>nSD*NseMeas!X42*AO42</f>
        <v>1.4934408876596361E-3</v>
      </c>
      <c r="BC42" s="93">
        <f t="shared" si="35"/>
        <v>8.9037694391885885E-6</v>
      </c>
      <c r="BD42" s="93">
        <f>nSD*NseMeas!X42*AP42</f>
        <v>0.45096991767149286</v>
      </c>
      <c r="BE42" s="93">
        <f t="shared" si="36"/>
        <v>2.6878157133072068E-3</v>
      </c>
      <c r="BF42" s="93">
        <f>nSD*NseMeas!X42*AR42</f>
        <v>8.2102494288515153E-4</v>
      </c>
      <c r="BG42" s="93">
        <f t="shared" si="37"/>
        <v>4.8948841760023849E-6</v>
      </c>
      <c r="BH42" s="91">
        <f t="shared" si="38"/>
        <v>4.3114681759144511E-3</v>
      </c>
      <c r="BI42" s="93">
        <f t="shared" si="39"/>
        <v>2.5704562295453116E-5</v>
      </c>
    </row>
    <row r="43" spans="1:61">
      <c r="A43" s="91">
        <f t="shared" si="64"/>
        <v>20.164000000000001</v>
      </c>
      <c r="B43" s="92">
        <f>T_0*(1+10^('User Cal. Noise Std'!AA44/10))</f>
        <v>4886.1902581372296</v>
      </c>
      <c r="C43" s="92">
        <f t="shared" si="40"/>
        <v>296</v>
      </c>
      <c r="D43" s="93">
        <f t="shared" si="41"/>
        <v>296</v>
      </c>
      <c r="E43" s="92">
        <f>IF(UsePreamp,T_0*(10^(Preamp!AE44/10)-1),0)</f>
        <v>627.06052144883006</v>
      </c>
      <c r="F43" s="92">
        <f>T_0*(10^((FieldFox!B43-kT0dB)/10)-1)</f>
        <v>14162.139033528121</v>
      </c>
      <c r="G43" s="93">
        <f>IF(UsePreamp,10^(Preamp!AD44/10),1)</f>
        <v>136.22725324071175</v>
      </c>
      <c r="H43" s="94">
        <f t="shared" si="42"/>
        <v>3.7715579022036389E-8</v>
      </c>
      <c r="I43" s="94">
        <f t="shared" si="43"/>
        <v>6.8957111809786128E-9</v>
      </c>
      <c r="J43" s="94">
        <f t="shared" si="44"/>
        <v>7.1260437096389457E-10</v>
      </c>
      <c r="K43" s="95">
        <f t="shared" si="45"/>
        <v>627.06052144882949</v>
      </c>
      <c r="L43" s="93">
        <f t="shared" si="46"/>
        <v>136.2272532407118</v>
      </c>
      <c r="M43" s="94">
        <f t="shared" si="47"/>
        <v>4.2102660919420066E-9</v>
      </c>
      <c r="N43" s="94">
        <f t="shared" si="48"/>
        <v>4.2102660919420074E-9</v>
      </c>
      <c r="O43" s="94">
        <f t="shared" si="49"/>
        <v>3.2807297635450479E-8</v>
      </c>
      <c r="P43" s="91">
        <f t="shared" si="50"/>
        <v>1.0644853444746147</v>
      </c>
      <c r="Q43" s="94">
        <f t="shared" si="51"/>
        <v>6.4485344474614736E-2</v>
      </c>
      <c r="R43" s="94">
        <f t="shared" si="52"/>
        <v>4.329732936166445E-13</v>
      </c>
      <c r="S43" s="91">
        <v>-1</v>
      </c>
      <c r="T43" s="93">
        <f>FieldFox!AD43</f>
        <v>5.5</v>
      </c>
      <c r="U43" s="93">
        <f>FieldFox!AC43</f>
        <v>4.2536757182618388</v>
      </c>
      <c r="V43" s="93">
        <f>FieldFox!AE43</f>
        <v>1.2463242817381608</v>
      </c>
      <c r="W43" s="94">
        <f t="shared" si="53"/>
        <v>1.8054045564434553E-4</v>
      </c>
      <c r="X43" s="94">
        <f t="shared" si="54"/>
        <v>2.052927866506843E-4</v>
      </c>
      <c r="Y43" s="94">
        <f t="shared" si="55"/>
        <v>3.7926289061676681E-4</v>
      </c>
      <c r="Z43" s="91">
        <f>IF(UsePreamp,Preamp!AF44,FieldFox!D43)</f>
        <v>0.3981071705534972</v>
      </c>
      <c r="AA43" s="91">
        <f t="shared" si="56"/>
        <v>0.40853898265363492</v>
      </c>
      <c r="AB43" s="91">
        <f>'User Cal. Noise Std'!AC44</f>
        <v>0.22</v>
      </c>
      <c r="AC43" s="91">
        <f>'User Cal. Noise Std'!AD44</f>
        <v>0.12</v>
      </c>
      <c r="AD43" s="91">
        <f>IF(UsePreamp,Preamp!AH44,0)</f>
        <v>0</v>
      </c>
      <c r="AE43" s="91">
        <f>DUT!AG44</f>
        <v>0.31622776601683794</v>
      </c>
      <c r="AF43" s="94">
        <f t="shared" si="57"/>
        <v>2.3477758890081261E-9</v>
      </c>
      <c r="AG43" s="94">
        <f t="shared" si="58"/>
        <v>0</v>
      </c>
      <c r="AH43" s="91">
        <f t="shared" si="25"/>
        <v>2.3477758890081261E-9</v>
      </c>
      <c r="AI43" s="94">
        <f t="shared" si="59"/>
        <v>0</v>
      </c>
      <c r="AJ43" s="94">
        <f t="shared" si="60"/>
        <v>0</v>
      </c>
      <c r="AK43" s="91">
        <f t="shared" si="26"/>
        <v>0</v>
      </c>
      <c r="AL43" s="94">
        <f t="shared" si="61"/>
        <v>1.3252361802285127E-12</v>
      </c>
      <c r="AM43" s="94">
        <f t="shared" si="27"/>
        <v>0</v>
      </c>
      <c r="AN43" s="91">
        <f t="shared" si="28"/>
        <v>1.3252361802285127E-12</v>
      </c>
      <c r="AO43" s="94">
        <f t="shared" si="62"/>
        <v>4.9929301861512353E-13</v>
      </c>
      <c r="AP43" s="94">
        <f t="shared" si="29"/>
        <v>1.5139713695188387E-10</v>
      </c>
      <c r="AQ43" s="94">
        <f t="shared" si="30"/>
        <v>1.5139796025952898E-10</v>
      </c>
      <c r="AR43" s="94">
        <f t="shared" si="63"/>
        <v>2.7026439359790945E-13</v>
      </c>
      <c r="AS43" s="94">
        <f>B43*(10^('User Cal. Noise Std'!AB44/(ENRconf*10))-1)*R43</f>
        <v>2.4497376355890778E-11</v>
      </c>
      <c r="AT43" s="91">
        <f t="shared" si="31"/>
        <v>1.5337305210774122E-10</v>
      </c>
      <c r="AU43" s="93">
        <f>NseMeas!H43</f>
        <v>438.4470651377784</v>
      </c>
      <c r="AV43" s="93">
        <f>nSD*NseMeas!X43*AT43</f>
        <v>0.45685561876930175</v>
      </c>
      <c r="AW43" s="93">
        <f t="shared" si="32"/>
        <v>2.7228839542121352E-3</v>
      </c>
      <c r="AX43" s="93">
        <f>nSD*NseMeas!X43*AL43</f>
        <v>3.9475095971126242E-3</v>
      </c>
      <c r="AY43" s="93">
        <f t="shared" si="33"/>
        <v>2.3534681820419252E-5</v>
      </c>
      <c r="AZ43" s="93">
        <f>nSD*NseMeas!X43*AM43</f>
        <v>0</v>
      </c>
      <c r="BA43" s="93">
        <f t="shared" si="34"/>
        <v>0</v>
      </c>
      <c r="BB43" s="93">
        <f>nSD*NseMeas!X43*AO43</f>
        <v>1.4872548849478857E-3</v>
      </c>
      <c r="BC43" s="93">
        <f t="shared" si="35"/>
        <v>8.8668890479093216E-6</v>
      </c>
      <c r="BD43" s="93">
        <f>nSD*NseMeas!X43*AP43</f>
        <v>0.45096991767149275</v>
      </c>
      <c r="BE43" s="93">
        <f t="shared" si="36"/>
        <v>2.6878157133072068E-3</v>
      </c>
      <c r="BF43" s="93">
        <f>nSD*NseMeas!X43*AR43</f>
        <v>8.0504237916414936E-4</v>
      </c>
      <c r="BG43" s="93">
        <f t="shared" si="37"/>
        <v>4.7995974797783221E-6</v>
      </c>
      <c r="BH43" s="91">
        <f t="shared" si="38"/>
        <v>4.2945142151759024E-3</v>
      </c>
      <c r="BI43" s="93">
        <f t="shared" si="39"/>
        <v>2.5603484695987724E-5</v>
      </c>
    </row>
    <row r="44" spans="1:61">
      <c r="A44" s="91">
        <f t="shared" si="64"/>
        <v>20.692</v>
      </c>
      <c r="B44" s="92">
        <f>T_0*(1+10^('User Cal. Noise Std'!AA45/10))</f>
        <v>4886.1902581372296</v>
      </c>
      <c r="C44" s="92">
        <f t="shared" si="40"/>
        <v>296</v>
      </c>
      <c r="D44" s="93">
        <f t="shared" si="41"/>
        <v>296</v>
      </c>
      <c r="E44" s="92">
        <f>IF(UsePreamp,T_0*(10^(Preamp!AE45/10)-1),0)</f>
        <v>627.06052144883006</v>
      </c>
      <c r="F44" s="92">
        <f>T_0*(10^((FieldFox!B44-kT0dB)/10)-1)</f>
        <v>14162.139033528121</v>
      </c>
      <c r="G44" s="93">
        <f>IF(UsePreamp,10^(Preamp!AD45/10),1)</f>
        <v>140.60216240159104</v>
      </c>
      <c r="H44" s="94">
        <f t="shared" si="42"/>
        <v>3.8904390179949424E-8</v>
      </c>
      <c r="I44" s="94">
        <f t="shared" si="43"/>
        <v>7.0947488615046912E-9</v>
      </c>
      <c r="J44" s="94">
        <f t="shared" si="44"/>
        <v>7.1260437096389457E-10</v>
      </c>
      <c r="K44" s="95">
        <f t="shared" si="45"/>
        <v>627.06052144882995</v>
      </c>
      <c r="L44" s="93">
        <f t="shared" si="46"/>
        <v>140.6021624015911</v>
      </c>
      <c r="M44" s="94">
        <f t="shared" si="47"/>
        <v>4.3454778888269509E-9</v>
      </c>
      <c r="N44" s="94">
        <f t="shared" si="48"/>
        <v>4.3454778888269492E-9</v>
      </c>
      <c r="O44" s="94">
        <f t="shared" si="49"/>
        <v>3.3860896996478571E-8</v>
      </c>
      <c r="P44" s="91">
        <f t="shared" si="50"/>
        <v>1.0644853444746147</v>
      </c>
      <c r="Q44" s="94">
        <f t="shared" si="51"/>
        <v>6.4485344474614736E-2</v>
      </c>
      <c r="R44" s="94">
        <f t="shared" si="52"/>
        <v>4.4687813852541229E-13</v>
      </c>
      <c r="S44" s="91">
        <v>-1</v>
      </c>
      <c r="T44" s="93">
        <f>FieldFox!AD44</f>
        <v>5.5</v>
      </c>
      <c r="U44" s="93">
        <f>FieldFox!AC44</f>
        <v>4.2833352778092966</v>
      </c>
      <c r="V44" s="93">
        <f>FieldFox!AE44</f>
        <v>1.2166647221907028</v>
      </c>
      <c r="W44" s="94">
        <f t="shared" si="53"/>
        <v>1.8054045564434553E-4</v>
      </c>
      <c r="X44" s="94">
        <f t="shared" si="54"/>
        <v>2.0458078649400983E-4</v>
      </c>
      <c r="Y44" s="94">
        <f t="shared" si="55"/>
        <v>3.8385784525846363E-4</v>
      </c>
      <c r="Z44" s="91">
        <f>IF(UsePreamp,Preamp!AF45,FieldFox!D44)</f>
        <v>0.3981071705534972</v>
      </c>
      <c r="AA44" s="91">
        <f t="shared" si="56"/>
        <v>0.40853898265363492</v>
      </c>
      <c r="AB44" s="91">
        <f>'User Cal. Noise Std'!AC45</f>
        <v>0.22</v>
      </c>
      <c r="AC44" s="91">
        <f>'User Cal. Noise Std'!AD45</f>
        <v>0.12</v>
      </c>
      <c r="AD44" s="91">
        <f>IF(UsePreamp,Preamp!AH45,0)</f>
        <v>0</v>
      </c>
      <c r="AE44" s="91">
        <f>DUT!AG45</f>
        <v>0.31622776601683794</v>
      </c>
      <c r="AF44" s="94">
        <f t="shared" si="57"/>
        <v>2.4231742105639746E-9</v>
      </c>
      <c r="AG44" s="94">
        <f t="shared" si="58"/>
        <v>0</v>
      </c>
      <c r="AH44" s="91">
        <f t="shared" si="25"/>
        <v>2.4231742105639746E-9</v>
      </c>
      <c r="AI44" s="94">
        <f t="shared" si="59"/>
        <v>0</v>
      </c>
      <c r="AJ44" s="94">
        <f t="shared" si="60"/>
        <v>0</v>
      </c>
      <c r="AK44" s="91">
        <f t="shared" si="26"/>
        <v>0</v>
      </c>
      <c r="AL44" s="94">
        <f t="shared" si="61"/>
        <v>1.3634877729271054E-12</v>
      </c>
      <c r="AM44" s="94">
        <f t="shared" si="27"/>
        <v>0</v>
      </c>
      <c r="AN44" s="91">
        <f t="shared" si="28"/>
        <v>1.3634877729271054E-12</v>
      </c>
      <c r="AO44" s="94">
        <f t="shared" si="62"/>
        <v>5.1324470814351107E-13</v>
      </c>
      <c r="AP44" s="94">
        <f t="shared" si="29"/>
        <v>1.5625922369022053E-10</v>
      </c>
      <c r="AQ44" s="94">
        <f t="shared" si="30"/>
        <v>1.5626006658260715E-10</v>
      </c>
      <c r="AR44" s="94">
        <f t="shared" si="63"/>
        <v>2.7353877835996343E-13</v>
      </c>
      <c r="AS44" s="94">
        <f>B44*(10^('User Cal. Noise Std'!AB45/(ENRconf*10))-1)*R44</f>
        <v>2.5284104368732081E-11</v>
      </c>
      <c r="AT44" s="91">
        <f t="shared" si="31"/>
        <v>1.5829854157414068E-10</v>
      </c>
      <c r="AU44" s="93">
        <f>NseMeas!H44</f>
        <v>438.4470651377784</v>
      </c>
      <c r="AV44" s="93">
        <f>nSD*NseMeas!X44*AT44</f>
        <v>0.45685546475472083</v>
      </c>
      <c r="AW44" s="93">
        <f t="shared" si="32"/>
        <v>2.7228830365656439E-3</v>
      </c>
      <c r="AX44" s="93">
        <f>nSD*NseMeas!X44*AL44</f>
        <v>3.9350763057803837E-3</v>
      </c>
      <c r="AY44" s="93">
        <f t="shared" si="33"/>
        <v>2.346055590433596E-5</v>
      </c>
      <c r="AZ44" s="93">
        <f>nSD*NseMeas!X44*AM44</f>
        <v>0</v>
      </c>
      <c r="BA44" s="93">
        <f t="shared" si="34"/>
        <v>0</v>
      </c>
      <c r="BB44" s="93">
        <f>nSD*NseMeas!X44*AO44</f>
        <v>1.4812432719854493E-3</v>
      </c>
      <c r="BC44" s="93">
        <f t="shared" si="35"/>
        <v>8.831048350611203E-6</v>
      </c>
      <c r="BD44" s="93">
        <f>nSD*NseMeas!X44*AP44</f>
        <v>0.45096991767149269</v>
      </c>
      <c r="BE44" s="93">
        <f t="shared" si="36"/>
        <v>2.6878157133072068E-3</v>
      </c>
      <c r="BF44" s="93">
        <f>nSD*NseMeas!X44*AR44</f>
        <v>7.8944306418356886E-4</v>
      </c>
      <c r="BG44" s="93">
        <f t="shared" si="37"/>
        <v>4.7065956767381239E-6</v>
      </c>
      <c r="BH44" s="91">
        <f t="shared" si="38"/>
        <v>4.2780985863703396E-3</v>
      </c>
      <c r="BI44" s="93">
        <f t="shared" si="39"/>
        <v>2.5505616567354193E-5</v>
      </c>
    </row>
    <row r="45" spans="1:61">
      <c r="A45" s="91">
        <f t="shared" si="64"/>
        <v>21.22</v>
      </c>
      <c r="B45" s="92">
        <f>T_0*(1+10^('User Cal. Noise Std'!AA46/10))</f>
        <v>4886.1902581372296</v>
      </c>
      <c r="C45" s="92">
        <f t="shared" si="40"/>
        <v>296</v>
      </c>
      <c r="D45" s="93">
        <f t="shared" si="41"/>
        <v>296</v>
      </c>
      <c r="E45" s="92">
        <f>IF(UsePreamp,T_0*(10^(Preamp!AE46/10)-1),0)</f>
        <v>627.06052144883006</v>
      </c>
      <c r="F45" s="92">
        <f>T_0*(10^((FieldFox!B45-kT0dB)/10)-1)</f>
        <v>14162.139033528121</v>
      </c>
      <c r="G45" s="93">
        <f>IF(UsePreamp,10^(Preamp!AD46/10),1)</f>
        <v>145.11757083637235</v>
      </c>
      <c r="H45" s="94">
        <f t="shared" si="42"/>
        <v>4.013137975445381E-8</v>
      </c>
      <c r="I45" s="94">
        <f t="shared" si="43"/>
        <v>7.3001785946573933E-9</v>
      </c>
      <c r="J45" s="94">
        <f t="shared" si="44"/>
        <v>7.1260437096389457E-10</v>
      </c>
      <c r="K45" s="95">
        <f t="shared" si="45"/>
        <v>627.0605214488296</v>
      </c>
      <c r="L45" s="93">
        <f t="shared" si="46"/>
        <v>145.11757083637238</v>
      </c>
      <c r="M45" s="94">
        <f t="shared" si="47"/>
        <v>4.4850319837086551E-9</v>
      </c>
      <c r="N45" s="94">
        <f t="shared" si="48"/>
        <v>4.4850319837086576E-9</v>
      </c>
      <c r="O45" s="94">
        <f t="shared" si="49"/>
        <v>3.4948332476101255E-8</v>
      </c>
      <c r="P45" s="91">
        <f t="shared" si="50"/>
        <v>1.0644853444746147</v>
      </c>
      <c r="Q45" s="94">
        <f t="shared" si="51"/>
        <v>6.4485344474614736E-2</v>
      </c>
      <c r="R45" s="94">
        <f t="shared" si="52"/>
        <v>4.6122953456051462E-13</v>
      </c>
      <c r="S45" s="91">
        <v>-1</v>
      </c>
      <c r="T45" s="93">
        <f>FieldFox!AD45</f>
        <v>5.5</v>
      </c>
      <c r="U45" s="93">
        <f>FieldFox!AC45</f>
        <v>4.312502452475349</v>
      </c>
      <c r="V45" s="93">
        <f>FieldFox!AE45</f>
        <v>1.187497547524651</v>
      </c>
      <c r="W45" s="94">
        <f t="shared" si="53"/>
        <v>1.8054045564434553E-4</v>
      </c>
      <c r="X45" s="94">
        <f t="shared" si="54"/>
        <v>2.0388778199870454E-4</v>
      </c>
      <c r="Y45" s="94">
        <f t="shared" si="55"/>
        <v>3.8854338393410552E-4</v>
      </c>
      <c r="Z45" s="91">
        <f>IF(UsePreamp,Preamp!AF46,FieldFox!D45)</f>
        <v>0.3981071705534972</v>
      </c>
      <c r="AA45" s="91">
        <f t="shared" si="56"/>
        <v>0.40853898265363492</v>
      </c>
      <c r="AB45" s="91">
        <f>'User Cal. Noise Std'!AC46</f>
        <v>0.22</v>
      </c>
      <c r="AC45" s="91">
        <f>'User Cal. Noise Std'!AD46</f>
        <v>0.12</v>
      </c>
      <c r="AD45" s="91">
        <f>IF(UsePreamp,Preamp!AH46,0)</f>
        <v>0</v>
      </c>
      <c r="AE45" s="91">
        <f>DUT!AG46</f>
        <v>0.31622776601683794</v>
      </c>
      <c r="AF45" s="94">
        <f t="shared" si="57"/>
        <v>2.5009939331232437E-9</v>
      </c>
      <c r="AG45" s="94">
        <f t="shared" si="58"/>
        <v>0</v>
      </c>
      <c r="AH45" s="91">
        <f t="shared" si="25"/>
        <v>2.5009939331232437E-9</v>
      </c>
      <c r="AI45" s="94">
        <f t="shared" si="59"/>
        <v>0</v>
      </c>
      <c r="AJ45" s="94">
        <f t="shared" si="60"/>
        <v>0</v>
      </c>
      <c r="AK45" s="91">
        <f t="shared" si="26"/>
        <v>0</v>
      </c>
      <c r="AL45" s="94">
        <f t="shared" si="61"/>
        <v>1.4029678073606259E-12</v>
      </c>
      <c r="AM45" s="94">
        <f t="shared" si="27"/>
        <v>0</v>
      </c>
      <c r="AN45" s="91">
        <f t="shared" si="28"/>
        <v>1.4029678073606259E-12</v>
      </c>
      <c r="AO45" s="94">
        <f t="shared" si="62"/>
        <v>5.2763830555492634E-13</v>
      </c>
      <c r="AP45" s="94">
        <f t="shared" si="29"/>
        <v>1.6127745530637394E-10</v>
      </c>
      <c r="AQ45" s="94">
        <f t="shared" si="30"/>
        <v>1.6127831841968384E-10</v>
      </c>
      <c r="AR45" s="94">
        <f t="shared" si="63"/>
        <v>2.7687771370054625E-13</v>
      </c>
      <c r="AS45" s="94">
        <f>B45*(10^('User Cal. Noise Std'!AB46/(ENRconf*10))-1)*R45</f>
        <v>2.6096097983783136E-11</v>
      </c>
      <c r="AT45" s="91">
        <f t="shared" si="31"/>
        <v>1.6338221231883531E-10</v>
      </c>
      <c r="AU45" s="93">
        <f>NseMeas!H45</f>
        <v>438.4470651377784</v>
      </c>
      <c r="AV45" s="93">
        <f>nSD*NseMeas!X45*AT45</f>
        <v>0.45685531619061659</v>
      </c>
      <c r="AW45" s="93">
        <f t="shared" si="32"/>
        <v>2.7228821513927645E-3</v>
      </c>
      <c r="AX45" s="93">
        <f>nSD*NseMeas!X45*AL45</f>
        <v>3.9230298827524403E-3</v>
      </c>
      <c r="AY45" s="93">
        <f t="shared" si="33"/>
        <v>2.3388736453965509E-5</v>
      </c>
      <c r="AZ45" s="93">
        <f>nSD*NseMeas!X45*AM45</f>
        <v>0</v>
      </c>
      <c r="BA45" s="93">
        <f t="shared" si="34"/>
        <v>0</v>
      </c>
      <c r="BB45" s="93">
        <f>nSD*NseMeas!X45*AO45</f>
        <v>1.4754015231974392E-3</v>
      </c>
      <c r="BC45" s="93">
        <f t="shared" si="35"/>
        <v>8.7962203693494149E-6</v>
      </c>
      <c r="BD45" s="93">
        <f>nSD*NseMeas!X45*AP45</f>
        <v>0.45096991767149275</v>
      </c>
      <c r="BE45" s="93">
        <f t="shared" si="36"/>
        <v>2.6878157133072068E-3</v>
      </c>
      <c r="BF45" s="93">
        <f>nSD*NseMeas!X45*AR45</f>
        <v>7.7421558714084991E-4</v>
      </c>
      <c r="BG45" s="93">
        <f t="shared" si="37"/>
        <v>4.6158107395840818E-6</v>
      </c>
      <c r="BH45" s="91">
        <f t="shared" si="38"/>
        <v>4.2622039945307399E-3</v>
      </c>
      <c r="BI45" s="93">
        <f t="shared" si="39"/>
        <v>2.541085480158709E-5</v>
      </c>
    </row>
    <row r="46" spans="1:61">
      <c r="A46" s="91">
        <f t="shared" si="64"/>
        <v>21.747999999999998</v>
      </c>
      <c r="B46" s="92">
        <f>T_0*(1+10^('User Cal. Noise Std'!AA47/10))</f>
        <v>4886.1902581372296</v>
      </c>
      <c r="C46" s="92">
        <f t="shared" si="40"/>
        <v>296</v>
      </c>
      <c r="D46" s="93">
        <f t="shared" si="41"/>
        <v>296</v>
      </c>
      <c r="E46" s="92">
        <f>IF(UsePreamp,T_0*(10^(Preamp!AE47/10)-1),0)</f>
        <v>627.06052144883006</v>
      </c>
      <c r="F46" s="92">
        <f>T_0*(10^((FieldFox!B46-kT0dB)/10)-1)</f>
        <v>14162.139033528121</v>
      </c>
      <c r="G46" s="93">
        <f>IF(UsePreamp,10^(Preamp!AD47/10),1)</f>
        <v>149.77799064924807</v>
      </c>
      <c r="H46" s="94">
        <f t="shared" si="42"/>
        <v>4.1397773837249368E-8</v>
      </c>
      <c r="I46" s="94">
        <f t="shared" si="43"/>
        <v>7.5122056598424731E-9</v>
      </c>
      <c r="J46" s="94">
        <f t="shared" si="44"/>
        <v>7.1260437096389457E-10</v>
      </c>
      <c r="K46" s="95">
        <f t="shared" si="45"/>
        <v>627.06052144882995</v>
      </c>
      <c r="L46" s="93">
        <f t="shared" si="46"/>
        <v>149.7779906492481</v>
      </c>
      <c r="M46" s="94">
        <f t="shared" si="47"/>
        <v>4.6290678285604519E-9</v>
      </c>
      <c r="N46" s="94">
        <f t="shared" si="48"/>
        <v>4.6290678285604519E-9</v>
      </c>
      <c r="O46" s="94">
        <f t="shared" si="49"/>
        <v>3.6070690714045015E-8</v>
      </c>
      <c r="P46" s="91">
        <f t="shared" si="50"/>
        <v>1.0644853444746147</v>
      </c>
      <c r="Q46" s="94">
        <f t="shared" si="51"/>
        <v>6.4485344474614736E-2</v>
      </c>
      <c r="R46" s="94">
        <f t="shared" si="52"/>
        <v>4.7604182261605932E-13</v>
      </c>
      <c r="S46" s="91">
        <v>-1</v>
      </c>
      <c r="T46" s="93">
        <f>FieldFox!AD46</f>
        <v>5.5</v>
      </c>
      <c r="U46" s="93">
        <f>FieldFox!AC46</f>
        <v>4.3411751946609707</v>
      </c>
      <c r="V46" s="93">
        <f>FieldFox!AE46</f>
        <v>1.1588248053390293</v>
      </c>
      <c r="W46" s="94">
        <f t="shared" si="53"/>
        <v>1.8054045564434553E-4</v>
      </c>
      <c r="X46" s="94">
        <f t="shared" si="54"/>
        <v>2.0321334402315211E-4</v>
      </c>
      <c r="Y46" s="94">
        <f t="shared" si="55"/>
        <v>3.9332086667750218E-4</v>
      </c>
      <c r="Z46" s="91">
        <f>IF(UsePreamp,Preamp!AF47,FieldFox!D46)</f>
        <v>0.3981071705534972</v>
      </c>
      <c r="AA46" s="91">
        <f t="shared" si="56"/>
        <v>0.40853898265363492</v>
      </c>
      <c r="AB46" s="91">
        <f>'User Cal. Noise Std'!AC47</f>
        <v>0.22</v>
      </c>
      <c r="AC46" s="91">
        <f>'User Cal. Noise Std'!AD47</f>
        <v>0.12</v>
      </c>
      <c r="AD46" s="91">
        <f>IF(UsePreamp,Preamp!AH47,0)</f>
        <v>0</v>
      </c>
      <c r="AE46" s="91">
        <f>DUT!AG47</f>
        <v>0.31622776601683794</v>
      </c>
      <c r="AF46" s="94">
        <f t="shared" si="57"/>
        <v>2.5813128194623208E-9</v>
      </c>
      <c r="AG46" s="94">
        <f t="shared" si="58"/>
        <v>0</v>
      </c>
      <c r="AH46" s="91">
        <f t="shared" si="25"/>
        <v>2.5813128194623208E-9</v>
      </c>
      <c r="AI46" s="94">
        <f t="shared" si="59"/>
        <v>0</v>
      </c>
      <c r="AJ46" s="94">
        <f t="shared" si="60"/>
        <v>0</v>
      </c>
      <c r="AK46" s="91">
        <f t="shared" si="26"/>
        <v>0</v>
      </c>
      <c r="AL46" s="94">
        <f t="shared" si="61"/>
        <v>1.4437157346731878E-12</v>
      </c>
      <c r="AM46" s="94">
        <f t="shared" si="27"/>
        <v>0</v>
      </c>
      <c r="AN46" s="91">
        <f t="shared" si="28"/>
        <v>1.4437157346731878E-12</v>
      </c>
      <c r="AO46" s="94">
        <f t="shared" si="62"/>
        <v>5.4248812286893846E-13</v>
      </c>
      <c r="AP46" s="94">
        <f t="shared" si="29"/>
        <v>1.6645684635976676E-10</v>
      </c>
      <c r="AQ46" s="94">
        <f t="shared" si="30"/>
        <v>1.6645773035038792E-10</v>
      </c>
      <c r="AR46" s="94">
        <f t="shared" si="63"/>
        <v>2.8028216878569527E-13</v>
      </c>
      <c r="AS46" s="94">
        <f>B46*(10^('User Cal. Noise Std'!AB47/(ENRconf*10))-1)*R46</f>
        <v>2.6934168600466071E-11</v>
      </c>
      <c r="AT46" s="91">
        <f t="shared" si="31"/>
        <v>1.6862914429249017E-10</v>
      </c>
      <c r="AU46" s="93">
        <f>NseMeas!H46</f>
        <v>438.4470651377784</v>
      </c>
      <c r="AV46" s="93">
        <f>nSD*NseMeas!X46*AT46</f>
        <v>0.45685517286707017</v>
      </c>
      <c r="AW46" s="93">
        <f t="shared" si="32"/>
        <v>2.7228812974445116E-3</v>
      </c>
      <c r="AX46" s="93">
        <f>nSD*NseMeas!X46*AL46</f>
        <v>3.9113582904209878E-3</v>
      </c>
      <c r="AY46" s="93">
        <f t="shared" si="33"/>
        <v>2.3319151700700319E-5</v>
      </c>
      <c r="AZ46" s="93">
        <f>nSD*NseMeas!X46*AM46</f>
        <v>0</v>
      </c>
      <c r="BA46" s="93">
        <f t="shared" si="34"/>
        <v>0</v>
      </c>
      <c r="BB46" s="93">
        <f>nSD*NseMeas!X46*AO46</f>
        <v>1.4697252138203411E-3</v>
      </c>
      <c r="BC46" s="93">
        <f t="shared" si="35"/>
        <v>8.7623787221307165E-6</v>
      </c>
      <c r="BD46" s="93">
        <f>nSD*NseMeas!X46*AP46</f>
        <v>0.45096991767149286</v>
      </c>
      <c r="BE46" s="93">
        <f t="shared" si="36"/>
        <v>2.6878157133072068E-3</v>
      </c>
      <c r="BF46" s="93">
        <f>nSD*NseMeas!X46*AR46</f>
        <v>7.5934892043361167E-4</v>
      </c>
      <c r="BG46" s="93">
        <f t="shared" si="37"/>
        <v>4.5271769197127616E-6</v>
      </c>
      <c r="BH46" s="91">
        <f t="shared" si="38"/>
        <v>4.2468137071394992E-3</v>
      </c>
      <c r="BI46" s="93">
        <f t="shared" si="39"/>
        <v>2.5319099638830613E-5</v>
      </c>
    </row>
    <row r="47" spans="1:61">
      <c r="A47" s="91">
        <f t="shared" si="64"/>
        <v>22.275999999999996</v>
      </c>
      <c r="B47" s="92">
        <f>T_0*(1+10^('User Cal. Noise Std'!AA48/10))</f>
        <v>4886.1902581372296</v>
      </c>
      <c r="C47" s="92">
        <f t="shared" si="40"/>
        <v>296</v>
      </c>
      <c r="D47" s="93">
        <f t="shared" si="41"/>
        <v>296</v>
      </c>
      <c r="E47" s="92">
        <f>IF(UsePreamp,T_0*(10^(Preamp!AE48/10)-1),0)</f>
        <v>627.06052144883006</v>
      </c>
      <c r="F47" s="92">
        <f>T_0*(10^((FieldFox!B47-kT0dB)/10)-1)</f>
        <v>22615.096770740252</v>
      </c>
      <c r="G47" s="93">
        <f>IF(UsePreamp,10^(Preamp!AD48/10),1)</f>
        <v>154.58807884967362</v>
      </c>
      <c r="H47" s="94">
        <f t="shared" si="42"/>
        <v>4.312146237394536E-8</v>
      </c>
      <c r="I47" s="94">
        <f t="shared" si="43"/>
        <v>8.1476664072061981E-9</v>
      </c>
      <c r="J47" s="94">
        <f t="shared" si="44"/>
        <v>1.1292288492001185E-9</v>
      </c>
      <c r="K47" s="95">
        <f t="shared" si="45"/>
        <v>627.06052144882995</v>
      </c>
      <c r="L47" s="93">
        <f t="shared" si="46"/>
        <v>154.58807884967365</v>
      </c>
      <c r="M47" s="94">
        <f t="shared" si="47"/>
        <v>4.7777293538260135E-9</v>
      </c>
      <c r="N47" s="94">
        <f t="shared" si="48"/>
        <v>4.7777293538260127E-9</v>
      </c>
      <c r="O47" s="94">
        <f t="shared" si="49"/>
        <v>3.7229093247239225E-8</v>
      </c>
      <c r="P47" s="91">
        <f t="shared" si="50"/>
        <v>1.0644853444746147</v>
      </c>
      <c r="Q47" s="94">
        <f t="shared" si="51"/>
        <v>6.4485344474614736E-2</v>
      </c>
      <c r="R47" s="94">
        <f t="shared" si="52"/>
        <v>4.9132980414090742E-13</v>
      </c>
      <c r="S47" s="91">
        <v>-1</v>
      </c>
      <c r="T47" s="93">
        <f>FieldFox!AD47</f>
        <v>5.5</v>
      </c>
      <c r="U47" s="93">
        <f>FieldFox!AC47</f>
        <v>3.9115427240149052</v>
      </c>
      <c r="V47" s="93">
        <f>FieldFox!AE47</f>
        <v>1.588457275985095</v>
      </c>
      <c r="W47" s="94">
        <f t="shared" si="53"/>
        <v>1.8054045564434553E-4</v>
      </c>
      <c r="X47" s="94">
        <f t="shared" si="54"/>
        <v>2.1408283132450198E-4</v>
      </c>
      <c r="Y47" s="94">
        <f t="shared" si="55"/>
        <v>3.3594494437172619E-4</v>
      </c>
      <c r="Z47" s="91">
        <f>IF(UsePreamp,Preamp!AF48,FieldFox!D47)</f>
        <v>0.3981071705534972</v>
      </c>
      <c r="AA47" s="91">
        <f t="shared" si="56"/>
        <v>0.40853898265363492</v>
      </c>
      <c r="AB47" s="91">
        <f>'User Cal. Noise Std'!AC48</f>
        <v>0.22</v>
      </c>
      <c r="AC47" s="91">
        <f>'User Cal. Noise Std'!AD48</f>
        <v>0.12</v>
      </c>
      <c r="AD47" s="91">
        <f>IF(UsePreamp,Preamp!AH48,0)</f>
        <v>0</v>
      </c>
      <c r="AE47" s="91">
        <f>DUT!AG48</f>
        <v>0.31622776601683794</v>
      </c>
      <c r="AF47" s="94">
        <f t="shared" si="57"/>
        <v>2.6642111296925582E-9</v>
      </c>
      <c r="AG47" s="94">
        <f t="shared" si="58"/>
        <v>0</v>
      </c>
      <c r="AH47" s="91">
        <f t="shared" si="25"/>
        <v>2.6642111296925582E-9</v>
      </c>
      <c r="AI47" s="94">
        <f t="shared" si="59"/>
        <v>0</v>
      </c>
      <c r="AJ47" s="94">
        <f t="shared" si="60"/>
        <v>0</v>
      </c>
      <c r="AK47" s="91">
        <f t="shared" si="26"/>
        <v>0</v>
      </c>
      <c r="AL47" s="94">
        <f t="shared" si="61"/>
        <v>1.5658402772213789E-12</v>
      </c>
      <c r="AM47" s="94">
        <f t="shared" si="27"/>
        <v>0</v>
      </c>
      <c r="AN47" s="91">
        <f t="shared" si="28"/>
        <v>1.5658402772213789E-12</v>
      </c>
      <c r="AO47" s="94">
        <f t="shared" si="62"/>
        <v>5.9530063332180931E-13</v>
      </c>
      <c r="AP47" s="94">
        <f t="shared" si="29"/>
        <v>1.7180257245132709E-10</v>
      </c>
      <c r="AQ47" s="94">
        <f t="shared" si="30"/>
        <v>1.7180360381475567E-10</v>
      </c>
      <c r="AR47" s="94">
        <f t="shared" si="63"/>
        <v>3.793587229274822E-13</v>
      </c>
      <c r="AS47" s="94">
        <f>B47*(10^('User Cal. Noise Std'!AB48/(ENRconf*10))-1)*R47</f>
        <v>2.7799153676122278E-11</v>
      </c>
      <c r="AT47" s="91">
        <f t="shared" si="31"/>
        <v>1.7404558884861353E-10</v>
      </c>
      <c r="AU47" s="93">
        <f>NseMeas!H47</f>
        <v>438.4470651377784</v>
      </c>
      <c r="AV47" s="93">
        <f>nSD*NseMeas!X47*AT47</f>
        <v>0.45685768119905384</v>
      </c>
      <c r="AW47" s="93">
        <f t="shared" si="32"/>
        <v>2.7228962425513035E-3</v>
      </c>
      <c r="AX47" s="93">
        <f>nSD*NseMeas!X47*AL47</f>
        <v>4.1102228612164074E-3</v>
      </c>
      <c r="AY47" s="93">
        <f t="shared" si="33"/>
        <v>2.4504760297076193E-5</v>
      </c>
      <c r="AZ47" s="93">
        <f>nSD*NseMeas!X47*AM47</f>
        <v>0</v>
      </c>
      <c r="BA47" s="93">
        <f t="shared" si="34"/>
        <v>0</v>
      </c>
      <c r="BB47" s="93">
        <f>nSD*NseMeas!X47*AO47</f>
        <v>1.5626231538237376E-3</v>
      </c>
      <c r="BC47" s="93">
        <f t="shared" si="35"/>
        <v>9.3162278712917993E-6</v>
      </c>
      <c r="BD47" s="93">
        <f>nSD*NseMeas!X47*AP47</f>
        <v>0.45096991767149286</v>
      </c>
      <c r="BE47" s="93">
        <f t="shared" si="36"/>
        <v>2.6878157133072068E-3</v>
      </c>
      <c r="BF47" s="93">
        <f>nSD*NseMeas!X47*AR47</f>
        <v>9.9579051469114266E-4</v>
      </c>
      <c r="BG47" s="93">
        <f t="shared" si="37"/>
        <v>5.9368216414580319E-6</v>
      </c>
      <c r="BH47" s="91">
        <f t="shared" si="38"/>
        <v>4.5085831298625166E-3</v>
      </c>
      <c r="BI47" s="93">
        <f t="shared" si="39"/>
        <v>2.6879739225133205E-5</v>
      </c>
    </row>
    <row r="48" spans="1:61">
      <c r="A48" s="91">
        <f t="shared" si="64"/>
        <v>22.803999999999995</v>
      </c>
      <c r="B48" s="92">
        <f>T_0*(1+10^('User Cal. Noise Std'!AA49/10))</f>
        <v>4886.1902581372296</v>
      </c>
      <c r="C48" s="92">
        <f t="shared" si="40"/>
        <v>296</v>
      </c>
      <c r="D48" s="93">
        <f t="shared" si="41"/>
        <v>296</v>
      </c>
      <c r="E48" s="92">
        <f>IF(UsePreamp,T_0*(10^(Preamp!AE49/10)-1),0)</f>
        <v>627.06052144883006</v>
      </c>
      <c r="F48" s="92">
        <f>T_0*(10^((FieldFox!B48-kT0dB)/10)-1)</f>
        <v>22615.096770740252</v>
      </c>
      <c r="G48" s="93">
        <f>IF(UsePreamp,10^(Preamp!AD49/10),1)</f>
        <v>159.55264200596923</v>
      </c>
      <c r="H48" s="94">
        <f t="shared" si="42"/>
        <v>4.4470502515656997E-8</v>
      </c>
      <c r="I48" s="94">
        <f t="shared" si="43"/>
        <v>8.3735305564073422E-9</v>
      </c>
      <c r="J48" s="94">
        <f t="shared" si="44"/>
        <v>1.1292288492001185E-9</v>
      </c>
      <c r="K48" s="95">
        <f t="shared" si="45"/>
        <v>627.06052144882995</v>
      </c>
      <c r="L48" s="93">
        <f t="shared" si="46"/>
        <v>159.55264200596923</v>
      </c>
      <c r="M48" s="94">
        <f t="shared" si="47"/>
        <v>4.9311651122445008E-9</v>
      </c>
      <c r="N48" s="94">
        <f t="shared" si="48"/>
        <v>4.9311651122445E-9</v>
      </c>
      <c r="O48" s="94">
        <f t="shared" si="49"/>
        <v>3.8424697630532379E-8</v>
      </c>
      <c r="P48" s="91">
        <f t="shared" si="50"/>
        <v>1.0644853444746147</v>
      </c>
      <c r="Q48" s="94">
        <f t="shared" si="51"/>
        <v>6.4485344474614736E-2</v>
      </c>
      <c r="R48" s="94">
        <f t="shared" si="52"/>
        <v>5.0710875592929125E-13</v>
      </c>
      <c r="S48" s="91">
        <v>-1</v>
      </c>
      <c r="T48" s="93">
        <f>FieldFox!AD48</f>
        <v>5.5</v>
      </c>
      <c r="U48" s="93">
        <f>FieldFox!AC48</f>
        <v>3.9461155983693277</v>
      </c>
      <c r="V48" s="93">
        <f>FieldFox!AE48</f>
        <v>1.5538844016306725</v>
      </c>
      <c r="W48" s="94">
        <f t="shared" si="53"/>
        <v>1.8054045564434553E-4</v>
      </c>
      <c r="X48" s="94">
        <f t="shared" si="54"/>
        <v>2.1314295240498261E-4</v>
      </c>
      <c r="Y48" s="94">
        <f t="shared" si="55"/>
        <v>3.3966165812864647E-4</v>
      </c>
      <c r="Z48" s="91">
        <f>IF(UsePreamp,Preamp!AF49,FieldFox!D48)</f>
        <v>0.3981071705534972</v>
      </c>
      <c r="AA48" s="91">
        <f t="shared" si="56"/>
        <v>0.40853898265363492</v>
      </c>
      <c r="AB48" s="91">
        <f>'User Cal. Noise Std'!AC49</f>
        <v>0.22</v>
      </c>
      <c r="AC48" s="91">
        <f>'User Cal. Noise Std'!AD49</f>
        <v>0.12</v>
      </c>
      <c r="AD48" s="91">
        <f>IF(UsePreamp,Preamp!AH49,0)</f>
        <v>0</v>
      </c>
      <c r="AE48" s="91">
        <f>DUT!AG49</f>
        <v>0.31622776601683794</v>
      </c>
      <c r="AF48" s="94">
        <f t="shared" si="57"/>
        <v>2.7497717014616549E-9</v>
      </c>
      <c r="AG48" s="94">
        <f t="shared" si="58"/>
        <v>0</v>
      </c>
      <c r="AH48" s="91">
        <f t="shared" si="25"/>
        <v>2.7497717014616549E-9</v>
      </c>
      <c r="AI48" s="94">
        <f t="shared" si="59"/>
        <v>0</v>
      </c>
      <c r="AJ48" s="94">
        <f t="shared" si="60"/>
        <v>0</v>
      </c>
      <c r="AK48" s="91">
        <f t="shared" si="26"/>
        <v>0</v>
      </c>
      <c r="AL48" s="94">
        <f t="shared" si="61"/>
        <v>1.6092474522729604E-12</v>
      </c>
      <c r="AM48" s="94">
        <f t="shared" si="27"/>
        <v>0</v>
      </c>
      <c r="AN48" s="91">
        <f t="shared" si="28"/>
        <v>1.6092474522729604E-12</v>
      </c>
      <c r="AO48" s="94">
        <f t="shared" si="62"/>
        <v>6.1122912248744122E-13</v>
      </c>
      <c r="AP48" s="94">
        <f t="shared" si="29"/>
        <v>1.7731997539530228E-10</v>
      </c>
      <c r="AQ48" s="94">
        <f t="shared" si="30"/>
        <v>1.7732102885791855E-10</v>
      </c>
      <c r="AR48" s="94">
        <f t="shared" si="63"/>
        <v>3.8355574332601551E-13</v>
      </c>
      <c r="AS48" s="94">
        <f>B48*(10^('User Cal. Noise Std'!AB49/(ENRconf*10))-1)*R48</f>
        <v>2.8691917562856917E-11</v>
      </c>
      <c r="AT48" s="91">
        <f t="shared" si="31"/>
        <v>1.7963493591458051E-10</v>
      </c>
      <c r="AU48" s="93">
        <f>NseMeas!H48</f>
        <v>438.4470651377784</v>
      </c>
      <c r="AV48" s="93">
        <f>nSD*NseMeas!X48*AT48</f>
        <v>0.45685745263456889</v>
      </c>
      <c r="AW48" s="93">
        <f t="shared" si="32"/>
        <v>2.7228948807219685E-3</v>
      </c>
      <c r="AX48" s="93">
        <f>nSD*NseMeas!X48*AL48</f>
        <v>4.0927266623330631E-3</v>
      </c>
      <c r="AY48" s="93">
        <f t="shared" si="33"/>
        <v>2.4400449905381833E-5</v>
      </c>
      <c r="AZ48" s="93">
        <f>nSD*NseMeas!X48*AM48</f>
        <v>0</v>
      </c>
      <c r="BA48" s="93">
        <f t="shared" si="34"/>
        <v>0</v>
      </c>
      <c r="BB48" s="93">
        <f>nSD*NseMeas!X48*AO48</f>
        <v>1.5545115344849226E-3</v>
      </c>
      <c r="BC48" s="93">
        <f t="shared" si="35"/>
        <v>9.2678671307161789E-6</v>
      </c>
      <c r="BD48" s="93">
        <f>nSD*NseMeas!X48*AP48</f>
        <v>0.45096991767149269</v>
      </c>
      <c r="BE48" s="93">
        <f t="shared" si="36"/>
        <v>2.6878157133072068E-3</v>
      </c>
      <c r="BF48" s="93">
        <f>nSD*NseMeas!X48*AR48</f>
        <v>9.7548006988243657E-4</v>
      </c>
      <c r="BG48" s="93">
        <f t="shared" si="37"/>
        <v>5.815732511023633E-6</v>
      </c>
      <c r="BH48" s="91">
        <f t="shared" si="38"/>
        <v>4.485362751233889E-3</v>
      </c>
      <c r="BI48" s="93">
        <f t="shared" si="39"/>
        <v>2.6741301985656117E-5</v>
      </c>
    </row>
    <row r="49" spans="1:61">
      <c r="A49" s="91">
        <f t="shared" si="64"/>
        <v>23.331999999999994</v>
      </c>
      <c r="B49" s="92">
        <f>T_0*(1+10^('User Cal. Noise Std'!AA50/10))</f>
        <v>4886.1902581372296</v>
      </c>
      <c r="C49" s="92">
        <f t="shared" si="40"/>
        <v>296</v>
      </c>
      <c r="D49" s="93">
        <f t="shared" si="41"/>
        <v>296</v>
      </c>
      <c r="E49" s="92">
        <f>IF(UsePreamp,T_0*(10^(Preamp!AE50/10)-1),0)</f>
        <v>627.06052144883006</v>
      </c>
      <c r="F49" s="92">
        <f>T_0*(10^((FieldFox!B49-kT0dB)/10)-1)</f>
        <v>22615.096770740252</v>
      </c>
      <c r="G49" s="93">
        <f>IF(UsePreamp,10^(Preamp!AD50/10),1)</f>
        <v>164.67664104837101</v>
      </c>
      <c r="H49" s="94">
        <f t="shared" si="42"/>
        <v>4.5862866793574635E-8</v>
      </c>
      <c r="I49" s="94">
        <f t="shared" si="43"/>
        <v>8.6066482845506428E-9</v>
      </c>
      <c r="J49" s="94">
        <f t="shared" si="44"/>
        <v>1.1292288492001185E-9</v>
      </c>
      <c r="K49" s="95">
        <f t="shared" si="45"/>
        <v>627.06052144883006</v>
      </c>
      <c r="L49" s="93">
        <f t="shared" si="46"/>
        <v>164.67664104837101</v>
      </c>
      <c r="M49" s="94">
        <f t="shared" si="47"/>
        <v>5.0895284272945943E-9</v>
      </c>
      <c r="N49" s="94">
        <f t="shared" si="48"/>
        <v>5.0895284272945926E-9</v>
      </c>
      <c r="O49" s="94">
        <f t="shared" si="49"/>
        <v>3.9658698593399924E-8</v>
      </c>
      <c r="P49" s="91">
        <f t="shared" si="50"/>
        <v>1.0644853444746147</v>
      </c>
      <c r="Q49" s="94">
        <f t="shared" si="51"/>
        <v>6.4485344474614736E-2</v>
      </c>
      <c r="R49" s="94">
        <f t="shared" si="52"/>
        <v>5.2339444538643012E-13</v>
      </c>
      <c r="S49" s="91">
        <v>-1</v>
      </c>
      <c r="T49" s="93">
        <f>FieldFox!AD49</f>
        <v>5.5</v>
      </c>
      <c r="U49" s="93">
        <f>FieldFox!AC49</f>
        <v>3.9802552128027093</v>
      </c>
      <c r="V49" s="93">
        <f>FieldFox!AE49</f>
        <v>1.5197447871972904</v>
      </c>
      <c r="W49" s="94">
        <f t="shared" si="53"/>
        <v>1.8054045564434553E-4</v>
      </c>
      <c r="X49" s="94">
        <f t="shared" si="54"/>
        <v>2.1222689445995696E-4</v>
      </c>
      <c r="Y49" s="94">
        <f t="shared" si="55"/>
        <v>3.434555571729999E-4</v>
      </c>
      <c r="Z49" s="91">
        <f>IF(UsePreamp,Preamp!AF50,FieldFox!D49)</f>
        <v>0.3981071705534972</v>
      </c>
      <c r="AA49" s="91">
        <f t="shared" si="56"/>
        <v>0.40853898265363492</v>
      </c>
      <c r="AB49" s="91">
        <f>'User Cal. Noise Std'!AC50</f>
        <v>0.22</v>
      </c>
      <c r="AC49" s="91">
        <f>'User Cal. Noise Std'!AD50</f>
        <v>0.12</v>
      </c>
      <c r="AD49" s="91">
        <f>IF(UsePreamp,Preamp!AH50,0)</f>
        <v>0</v>
      </c>
      <c r="AE49" s="91">
        <f>DUT!AG50</f>
        <v>0.31622776601683794</v>
      </c>
      <c r="AF49" s="94">
        <f t="shared" si="57"/>
        <v>2.8380800327306912E-9</v>
      </c>
      <c r="AG49" s="94">
        <f t="shared" si="58"/>
        <v>0</v>
      </c>
      <c r="AH49" s="91">
        <f t="shared" si="25"/>
        <v>2.8380800327306912E-9</v>
      </c>
      <c r="AI49" s="94">
        <f t="shared" si="59"/>
        <v>0</v>
      </c>
      <c r="AJ49" s="94">
        <f t="shared" si="60"/>
        <v>0</v>
      </c>
      <c r="AK49" s="91">
        <f t="shared" si="26"/>
        <v>0</v>
      </c>
      <c r="AL49" s="94">
        <f t="shared" si="61"/>
        <v>1.654048639486305E-12</v>
      </c>
      <c r="AM49" s="94">
        <f t="shared" si="27"/>
        <v>0</v>
      </c>
      <c r="AN49" s="91">
        <f t="shared" si="28"/>
        <v>1.654048639486305E-12</v>
      </c>
      <c r="AO49" s="94">
        <f t="shared" si="62"/>
        <v>6.2765738237524955E-13</v>
      </c>
      <c r="AP49" s="94">
        <f t="shared" si="29"/>
        <v>1.8301456855716448E-10</v>
      </c>
      <c r="AQ49" s="94">
        <f t="shared" si="30"/>
        <v>1.8301564484479108E-10</v>
      </c>
      <c r="AR49" s="94">
        <f t="shared" si="63"/>
        <v>3.8783992357785216E-13</v>
      </c>
      <c r="AS49" s="94">
        <f>B49*(10^('User Cal. Noise Std'!AB50/(ENRconf*10))-1)*R49</f>
        <v>2.9613352371258587E-11</v>
      </c>
      <c r="AT49" s="91">
        <f t="shared" si="31"/>
        <v>1.8540378419365429E-10</v>
      </c>
      <c r="AU49" s="93">
        <f>NseMeas!H49</f>
        <v>438.4470651377784</v>
      </c>
      <c r="AV49" s="93">
        <f>nSD*NseMeas!X49*AT49</f>
        <v>0.45685723247589161</v>
      </c>
      <c r="AW49" s="93">
        <f t="shared" si="32"/>
        <v>2.7228935689753929E-3</v>
      </c>
      <c r="AX49" s="93">
        <f>nSD*NseMeas!X49*AL49</f>
        <v>4.0757748667467099E-3</v>
      </c>
      <c r="AY49" s="93">
        <f t="shared" si="33"/>
        <v>2.4299385183015474E-5</v>
      </c>
      <c r="AZ49" s="93">
        <f>nSD*NseMeas!X49*AM49</f>
        <v>0</v>
      </c>
      <c r="BA49" s="93">
        <f t="shared" si="34"/>
        <v>0</v>
      </c>
      <c r="BB49" s="93">
        <f>nSD*NseMeas!X49*AO49</f>
        <v>1.5466233113964314E-3</v>
      </c>
      <c r="BC49" s="93">
        <f t="shared" si="35"/>
        <v>9.2208382570472797E-6</v>
      </c>
      <c r="BD49" s="93">
        <f>nSD*NseMeas!X49*AP49</f>
        <v>0.4509699176714928</v>
      </c>
      <c r="BE49" s="93">
        <f t="shared" si="36"/>
        <v>2.6878157133072068E-3</v>
      </c>
      <c r="BF49" s="93">
        <f>nSD*NseMeas!X49*AR49</f>
        <v>9.5568423751462629E-4</v>
      </c>
      <c r="BG49" s="93">
        <f t="shared" si="37"/>
        <v>5.6977114523840542E-6</v>
      </c>
      <c r="BH49" s="91">
        <f t="shared" si="38"/>
        <v>4.4628821173758266E-3</v>
      </c>
      <c r="BI49" s="93">
        <f t="shared" si="39"/>
        <v>2.6607275017236114E-5</v>
      </c>
    </row>
    <row r="50" spans="1:61">
      <c r="A50" s="91">
        <f t="shared" si="64"/>
        <v>23.859999999999992</v>
      </c>
      <c r="B50" s="92">
        <f>T_0*(1+10^('User Cal. Noise Std'!AA51/10))</f>
        <v>4886.1902581372296</v>
      </c>
      <c r="C50" s="92">
        <f t="shared" si="40"/>
        <v>296</v>
      </c>
      <c r="D50" s="93">
        <f t="shared" si="41"/>
        <v>296</v>
      </c>
      <c r="E50" s="92">
        <f>IF(UsePreamp,T_0*(10^(Preamp!AE51/10)-1),0)</f>
        <v>627.06052144883006</v>
      </c>
      <c r="F50" s="92">
        <f>T_0*(10^((FieldFox!B50-kT0dB)/10)-1)</f>
        <v>22615.096770740252</v>
      </c>
      <c r="G50" s="93">
        <f>IF(UsePreamp,10^(Preamp!AD51/10),1)</f>
        <v>169.96519622633087</v>
      </c>
      <c r="H50" s="94">
        <f t="shared" si="42"/>
        <v>4.72999465530853E-8</v>
      </c>
      <c r="I50" s="94">
        <f t="shared" si="43"/>
        <v>8.8472525387755992E-9</v>
      </c>
      <c r="J50" s="94">
        <f t="shared" si="44"/>
        <v>1.1292288492001185E-9</v>
      </c>
      <c r="K50" s="95">
        <f t="shared" si="45"/>
        <v>627.06052144882983</v>
      </c>
      <c r="L50" s="93">
        <f t="shared" si="46"/>
        <v>169.9651962263309</v>
      </c>
      <c r="M50" s="94">
        <f t="shared" si="47"/>
        <v>5.2529775464057623E-9</v>
      </c>
      <c r="N50" s="94">
        <f t="shared" si="48"/>
        <v>5.2529775464057648E-9</v>
      </c>
      <c r="O50" s="94">
        <f t="shared" si="49"/>
        <v>4.0932329233799418E-8</v>
      </c>
      <c r="P50" s="91">
        <f t="shared" si="50"/>
        <v>1.0644853444746147</v>
      </c>
      <c r="Q50" s="94">
        <f t="shared" si="51"/>
        <v>6.4485344474614736E-2</v>
      </c>
      <c r="R50" s="94">
        <f t="shared" si="52"/>
        <v>5.4020314628439654E-13</v>
      </c>
      <c r="S50" s="91">
        <v>-1</v>
      </c>
      <c r="T50" s="93">
        <f>FieldFox!AD50</f>
        <v>5.5</v>
      </c>
      <c r="U50" s="93">
        <f>FieldFox!AC50</f>
        <v>4.0139529291939171</v>
      </c>
      <c r="V50" s="93">
        <f>FieldFox!AE50</f>
        <v>1.4860470708060833</v>
      </c>
      <c r="W50" s="94">
        <f t="shared" si="53"/>
        <v>1.8054045564434553E-4</v>
      </c>
      <c r="X50" s="94">
        <f t="shared" si="54"/>
        <v>2.1133417912894991E-4</v>
      </c>
      <c r="Y50" s="94">
        <f t="shared" si="55"/>
        <v>3.4732784034842705E-4</v>
      </c>
      <c r="Z50" s="91">
        <f>IF(UsePreamp,Preamp!AF51,FieldFox!D50)</f>
        <v>0.3981071705534972</v>
      </c>
      <c r="AA50" s="91">
        <f t="shared" si="56"/>
        <v>0.40853898265363492</v>
      </c>
      <c r="AB50" s="91">
        <f>'User Cal. Noise Std'!AC51</f>
        <v>0.22</v>
      </c>
      <c r="AC50" s="91">
        <f>'User Cal. Noise Std'!AD51</f>
        <v>0.12</v>
      </c>
      <c r="AD50" s="91">
        <f>IF(UsePreamp,Preamp!AH51,0)</f>
        <v>0</v>
      </c>
      <c r="AE50" s="91">
        <f>DUT!AG51</f>
        <v>0.31622776601683794</v>
      </c>
      <c r="AF50" s="94">
        <f t="shared" si="57"/>
        <v>2.929224367209518E-9</v>
      </c>
      <c r="AG50" s="94">
        <f t="shared" si="58"/>
        <v>0</v>
      </c>
      <c r="AH50" s="91">
        <f t="shared" si="25"/>
        <v>2.929224367209518E-9</v>
      </c>
      <c r="AI50" s="94">
        <f t="shared" si="59"/>
        <v>0</v>
      </c>
      <c r="AJ50" s="94">
        <f t="shared" si="60"/>
        <v>0</v>
      </c>
      <c r="AK50" s="91">
        <f t="shared" si="26"/>
        <v>0</v>
      </c>
      <c r="AL50" s="94">
        <f t="shared" si="61"/>
        <v>1.7002886072644452E-12</v>
      </c>
      <c r="AM50" s="94">
        <f t="shared" si="27"/>
        <v>0</v>
      </c>
      <c r="AN50" s="91">
        <f t="shared" si="28"/>
        <v>1.7002886072644452E-12</v>
      </c>
      <c r="AO50" s="94">
        <f t="shared" si="62"/>
        <v>6.4460165382818626E-13</v>
      </c>
      <c r="AP50" s="94">
        <f t="shared" si="29"/>
        <v>1.8889204236294114E-10</v>
      </c>
      <c r="AQ50" s="94">
        <f t="shared" si="30"/>
        <v>1.8889314222420906E-10</v>
      </c>
      <c r="AR50" s="94">
        <f t="shared" si="63"/>
        <v>3.9221261745181677E-13</v>
      </c>
      <c r="AS50" s="94">
        <f>B50*(10^('User Cal. Noise Std'!AB51/(ENRconf*10))-1)*R50</f>
        <v>3.0564378861857022E-11</v>
      </c>
      <c r="AT50" s="91">
        <f t="shared" si="31"/>
        <v>1.9135789831264267E-10</v>
      </c>
      <c r="AU50" s="93">
        <f>NseMeas!H50</f>
        <v>438.4470651377784</v>
      </c>
      <c r="AV50" s="93">
        <f>nSD*NseMeas!X50*AT50</f>
        <v>0.45685702038220405</v>
      </c>
      <c r="AW50" s="93">
        <f t="shared" si="32"/>
        <v>2.7228923052829393E-3</v>
      </c>
      <c r="AX50" s="93">
        <f>nSD*NseMeas!X50*AL50</f>
        <v>4.0593505350665785E-3</v>
      </c>
      <c r="AY50" s="93">
        <f t="shared" si="33"/>
        <v>2.4201465140608221E-5</v>
      </c>
      <c r="AZ50" s="93">
        <f>nSD*NseMeas!X50*AM50</f>
        <v>0</v>
      </c>
      <c r="BA50" s="93">
        <f t="shared" si="34"/>
        <v>0</v>
      </c>
      <c r="BB50" s="93">
        <f>nSD*NseMeas!X50*AO50</f>
        <v>1.5389528914047947E-3</v>
      </c>
      <c r="BC50" s="93">
        <f t="shared" si="35"/>
        <v>9.175107905883672E-6</v>
      </c>
      <c r="BD50" s="93">
        <f>nSD*NseMeas!X50*AP50</f>
        <v>0.45096991767149275</v>
      </c>
      <c r="BE50" s="93">
        <f t="shared" si="36"/>
        <v>2.6878157133072068E-3</v>
      </c>
      <c r="BF50" s="93">
        <f>nSD*NseMeas!X50*AR50</f>
        <v>9.3638720609581338E-4</v>
      </c>
      <c r="BG50" s="93">
        <f t="shared" si="37"/>
        <v>5.5826641990434335E-6</v>
      </c>
      <c r="BH50" s="91">
        <f t="shared" si="38"/>
        <v>4.4411174008630325E-3</v>
      </c>
      <c r="BI50" s="93">
        <f t="shared" si="39"/>
        <v>2.6477516260282541E-5</v>
      </c>
    </row>
    <row r="51" spans="1:61">
      <c r="A51" s="91">
        <f t="shared" si="64"/>
        <v>24.387999999999991</v>
      </c>
      <c r="B51" s="92">
        <f>T_0*(1+10^('User Cal. Noise Std'!AA52/10))</f>
        <v>4886.1902581372296</v>
      </c>
      <c r="C51" s="92">
        <f t="shared" si="40"/>
        <v>296</v>
      </c>
      <c r="D51" s="93">
        <f t="shared" si="41"/>
        <v>296</v>
      </c>
      <c r="E51" s="92">
        <f>IF(UsePreamp,T_0*(10^(Preamp!AE52/10)-1),0)</f>
        <v>627.06052144883006</v>
      </c>
      <c r="F51" s="92">
        <f>T_0*(10^((FieldFox!B51-kT0dB)/10)-1)</f>
        <v>22615.096770740252</v>
      </c>
      <c r="G51" s="93">
        <f>IF(UsePreamp,10^(Preamp!AD52/10),1)</f>
        <v>175.42359222501804</v>
      </c>
      <c r="H51" s="94">
        <f t="shared" si="42"/>
        <v>4.8783177822335923E-8</v>
      </c>
      <c r="I51" s="94">
        <f t="shared" si="43"/>
        <v>9.0955837472693441E-9</v>
      </c>
      <c r="J51" s="94">
        <f t="shared" si="44"/>
        <v>1.1292288492001185E-9</v>
      </c>
      <c r="K51" s="95">
        <f t="shared" si="45"/>
        <v>627.06052144882983</v>
      </c>
      <c r="L51" s="93">
        <f t="shared" si="46"/>
        <v>175.42359222501807</v>
      </c>
      <c r="M51" s="94">
        <f t="shared" si="47"/>
        <v>5.4216757990898777E-9</v>
      </c>
      <c r="N51" s="94">
        <f t="shared" si="48"/>
        <v>5.4216757990898785E-9</v>
      </c>
      <c r="O51" s="94">
        <f t="shared" si="49"/>
        <v>4.2246862250365923E-8</v>
      </c>
      <c r="P51" s="91">
        <f t="shared" si="50"/>
        <v>1.0644853444746147</v>
      </c>
      <c r="Q51" s="94">
        <f t="shared" si="51"/>
        <v>6.4485344474614736E-2</v>
      </c>
      <c r="R51" s="94">
        <f t="shared" si="52"/>
        <v>5.5755165502397669E-13</v>
      </c>
      <c r="S51" s="91">
        <v>-1</v>
      </c>
      <c r="T51" s="93">
        <f>FieldFox!AD51</f>
        <v>5.5</v>
      </c>
      <c r="U51" s="93">
        <f>FieldFox!AC51</f>
        <v>4.0472007672296488</v>
      </c>
      <c r="V51" s="93">
        <f>FieldFox!AE51</f>
        <v>1.4527992327703514</v>
      </c>
      <c r="W51" s="94">
        <f t="shared" si="53"/>
        <v>1.8054045564434553E-4</v>
      </c>
      <c r="X51" s="94">
        <f t="shared" si="54"/>
        <v>2.104643316642044E-4</v>
      </c>
      <c r="Y51" s="94">
        <f t="shared" si="55"/>
        <v>3.51279720078558E-4</v>
      </c>
      <c r="Z51" s="91">
        <f>IF(UsePreamp,Preamp!AF52,FieldFox!D51)</f>
        <v>0.3981071705534972</v>
      </c>
      <c r="AA51" s="91">
        <f t="shared" si="56"/>
        <v>0.40853898265363492</v>
      </c>
      <c r="AB51" s="91">
        <f>'User Cal. Noise Std'!AC52</f>
        <v>0.22</v>
      </c>
      <c r="AC51" s="91">
        <f>'User Cal. Noise Std'!AD52</f>
        <v>0.12</v>
      </c>
      <c r="AD51" s="91">
        <f>IF(UsePreamp,Preamp!AH52,0)</f>
        <v>0</v>
      </c>
      <c r="AE51" s="91">
        <f>DUT!AG52</f>
        <v>0.31622776601683794</v>
      </c>
      <c r="AF51" s="94">
        <f t="shared" si="57"/>
        <v>3.023295782535878E-9</v>
      </c>
      <c r="AG51" s="94">
        <f t="shared" si="58"/>
        <v>0</v>
      </c>
      <c r="AH51" s="91">
        <f t="shared" si="25"/>
        <v>3.023295782535878E-9</v>
      </c>
      <c r="AI51" s="94">
        <f t="shared" si="59"/>
        <v>0</v>
      </c>
      <c r="AJ51" s="94">
        <f t="shared" si="60"/>
        <v>0</v>
      </c>
      <c r="AK51" s="91">
        <f t="shared" si="26"/>
        <v>0</v>
      </c>
      <c r="AL51" s="94">
        <f t="shared" si="61"/>
        <v>1.7480135617381149E-12</v>
      </c>
      <c r="AM51" s="94">
        <f t="shared" si="27"/>
        <v>0</v>
      </c>
      <c r="AN51" s="91">
        <f t="shared" si="28"/>
        <v>1.7480135617381149E-12</v>
      </c>
      <c r="AO51" s="94">
        <f t="shared" si="62"/>
        <v>6.6207870011387183E-13</v>
      </c>
      <c r="AP51" s="94">
        <f t="shared" si="29"/>
        <v>1.9495826998547601E-10</v>
      </c>
      <c r="AQ51" s="94">
        <f t="shared" si="30"/>
        <v>1.949593941925726E-10</v>
      </c>
      <c r="AR51" s="94">
        <f t="shared" si="63"/>
        <v>3.9667519405164979E-13</v>
      </c>
      <c r="AS51" s="94">
        <f>B51*(10^('User Cal. Noise Std'!AB52/(ENRconf*10))-1)*R51</f>
        <v>3.1545947365209666E-11</v>
      </c>
      <c r="AT51" s="91">
        <f t="shared" si="31"/>
        <v>1.9750322802862005E-10</v>
      </c>
      <c r="AU51" s="93">
        <f>NseMeas!H51</f>
        <v>438.4470651377784</v>
      </c>
      <c r="AV51" s="93">
        <f>nSD*NseMeas!X51*AT51</f>
        <v>0.45685681602814926</v>
      </c>
      <c r="AW51" s="93">
        <f t="shared" si="32"/>
        <v>2.7228910877027061E-3</v>
      </c>
      <c r="AX51" s="93">
        <f>nSD*NseMeas!X51*AL51</f>
        <v>4.0434372549798354E-3</v>
      </c>
      <c r="AY51" s="93">
        <f t="shared" si="33"/>
        <v>2.4106591928607884E-5</v>
      </c>
      <c r="AZ51" s="93">
        <f>nSD*NseMeas!X51*AM51</f>
        <v>0</v>
      </c>
      <c r="BA51" s="93">
        <f t="shared" si="34"/>
        <v>0</v>
      </c>
      <c r="BB51" s="93">
        <f>nSD*NseMeas!X51*AO51</f>
        <v>1.5314948009368633E-3</v>
      </c>
      <c r="BC51" s="93">
        <f t="shared" si="35"/>
        <v>9.1306434435291936E-6</v>
      </c>
      <c r="BD51" s="93">
        <f>nSD*NseMeas!X51*AP51</f>
        <v>0.45096991767149291</v>
      </c>
      <c r="BE51" s="93">
        <f t="shared" si="36"/>
        <v>2.6878157133072068E-3</v>
      </c>
      <c r="BF51" s="93">
        <f>nSD*NseMeas!X51*AR51</f>
        <v>9.1757369213997845E-4</v>
      </c>
      <c r="BG51" s="93">
        <f t="shared" si="37"/>
        <v>5.4704996330148945E-6</v>
      </c>
      <c r="BH51" s="91">
        <f t="shared" si="38"/>
        <v>4.4200455473629345E-3</v>
      </c>
      <c r="BI51" s="93">
        <f t="shared" si="39"/>
        <v>2.6351888270418157E-5</v>
      </c>
    </row>
    <row r="52" spans="1:61">
      <c r="A52" s="91">
        <f t="shared" si="64"/>
        <v>24.91599999999999</v>
      </c>
      <c r="B52" s="92">
        <f>T_0*(1+10^('User Cal. Noise Std'!AA53/10))</f>
        <v>4886.1902581372296</v>
      </c>
      <c r="C52" s="92">
        <f t="shared" si="40"/>
        <v>296</v>
      </c>
      <c r="D52" s="93">
        <f t="shared" si="41"/>
        <v>296</v>
      </c>
      <c r="E52" s="92">
        <f>IF(UsePreamp,T_0*(10^(Preamp!AE53/10)-1),0)</f>
        <v>627.06052144883006</v>
      </c>
      <c r="F52" s="92">
        <f>T_0*(10^((FieldFox!B52-kT0dB)/10)-1)</f>
        <v>22615.096770740252</v>
      </c>
      <c r="G52" s="93">
        <f>IF(UsePreamp,10^(Preamp!AD53/10),1)</f>
        <v>181.05728344613894</v>
      </c>
      <c r="H52" s="94">
        <f t="shared" si="42"/>
        <v>5.0314042747211097E-8</v>
      </c>
      <c r="I52" s="94">
        <f t="shared" si="43"/>
        <v>9.3518900595189584E-9</v>
      </c>
      <c r="J52" s="94">
        <f t="shared" si="44"/>
        <v>1.1292288492001185E-9</v>
      </c>
      <c r="K52" s="95">
        <f t="shared" si="45"/>
        <v>627.06052144883006</v>
      </c>
      <c r="L52" s="93">
        <f t="shared" si="46"/>
        <v>181.05728344613894</v>
      </c>
      <c r="M52" s="94">
        <f t="shared" si="47"/>
        <v>5.5957917601512464E-9</v>
      </c>
      <c r="N52" s="94">
        <f t="shared" si="48"/>
        <v>5.5957917601512456E-9</v>
      </c>
      <c r="O52" s="94">
        <f t="shared" si="49"/>
        <v>4.3603611214179735E-8</v>
      </c>
      <c r="P52" s="91">
        <f t="shared" si="50"/>
        <v>1.0644853444746147</v>
      </c>
      <c r="Q52" s="94">
        <f t="shared" si="51"/>
        <v>6.4485344474614736E-2</v>
      </c>
      <c r="R52" s="94">
        <f t="shared" si="52"/>
        <v>5.7545730741878633E-13</v>
      </c>
      <c r="S52" s="91">
        <v>-1</v>
      </c>
      <c r="T52" s="93">
        <f>FieldFox!AD52</f>
        <v>5.5</v>
      </c>
      <c r="U52" s="93">
        <f>FieldFox!AC52</f>
        <v>4.0799914015796794</v>
      </c>
      <c r="V52" s="93">
        <f>FieldFox!AE52</f>
        <v>1.4200085984203201</v>
      </c>
      <c r="W52" s="94">
        <f t="shared" si="53"/>
        <v>1.8054045564434553E-4</v>
      </c>
      <c r="X52" s="94">
        <f t="shared" si="54"/>
        <v>2.096168812027594E-4</v>
      </c>
      <c r="Y52" s="94">
        <f t="shared" si="55"/>
        <v>3.5531242269008117E-4</v>
      </c>
      <c r="Z52" s="91">
        <f>IF(UsePreamp,Preamp!AF53,FieldFox!D52)</f>
        <v>0.3981071705534972</v>
      </c>
      <c r="AA52" s="91">
        <f t="shared" si="56"/>
        <v>0.40853898265363492</v>
      </c>
      <c r="AB52" s="91">
        <f>'User Cal. Noise Std'!AC53</f>
        <v>0.22</v>
      </c>
      <c r="AC52" s="91">
        <f>'User Cal. Noise Std'!AD53</f>
        <v>0.12</v>
      </c>
      <c r="AD52" s="91">
        <f>IF(UsePreamp,Preamp!AH53,0)</f>
        <v>0</v>
      </c>
      <c r="AE52" s="91">
        <f>DUT!AG53</f>
        <v>0.31622776601683794</v>
      </c>
      <c r="AF52" s="94">
        <f t="shared" si="57"/>
        <v>3.1203882812864255E-9</v>
      </c>
      <c r="AG52" s="94">
        <f t="shared" si="58"/>
        <v>0</v>
      </c>
      <c r="AH52" s="91">
        <f t="shared" si="25"/>
        <v>3.1203882812864255E-9</v>
      </c>
      <c r="AI52" s="94">
        <f t="shared" si="59"/>
        <v>0</v>
      </c>
      <c r="AJ52" s="94">
        <f t="shared" si="60"/>
        <v>0</v>
      </c>
      <c r="AK52" s="91">
        <f t="shared" si="26"/>
        <v>0</v>
      </c>
      <c r="AL52" s="94">
        <f t="shared" si="61"/>
        <v>1.7972711929380824E-12</v>
      </c>
      <c r="AM52" s="94">
        <f t="shared" si="27"/>
        <v>0</v>
      </c>
      <c r="AN52" s="91">
        <f t="shared" si="28"/>
        <v>1.7972711929380824E-12</v>
      </c>
      <c r="AO52" s="94">
        <f t="shared" si="62"/>
        <v>6.8010582349874133E-13</v>
      </c>
      <c r="AP52" s="94">
        <f t="shared" si="29"/>
        <v>2.0121931321330616E-10</v>
      </c>
      <c r="AQ52" s="94">
        <f t="shared" si="30"/>
        <v>2.0122046256274676E-10</v>
      </c>
      <c r="AR52" s="94">
        <f t="shared" si="63"/>
        <v>4.0122903818082644E-13</v>
      </c>
      <c r="AS52" s="94">
        <f>B52*(10^('User Cal. Noise Std'!AB53/(ENRconf*10))-1)*R52</f>
        <v>3.2559038731537178E-11</v>
      </c>
      <c r="AT52" s="91">
        <f t="shared" si="31"/>
        <v>2.0384591417433305E-10</v>
      </c>
      <c r="AU52" s="93">
        <f>NseMeas!H52</f>
        <v>438.4470651377784</v>
      </c>
      <c r="AV52" s="93">
        <f>nSD*NseMeas!X52*AT52</f>
        <v>0.45685661910305209</v>
      </c>
      <c r="AW52" s="93">
        <f t="shared" si="32"/>
        <v>2.7228899143872361E-3</v>
      </c>
      <c r="AX52" s="93">
        <f>nSD*NseMeas!X52*AL52</f>
        <v>4.0280191248512577E-3</v>
      </c>
      <c r="AY52" s="93">
        <f t="shared" si="33"/>
        <v>2.401467074374081E-5</v>
      </c>
      <c r="AZ52" s="93">
        <f>nSD*NseMeas!X52*AM52</f>
        <v>0</v>
      </c>
      <c r="BA52" s="93">
        <f t="shared" si="34"/>
        <v>0</v>
      </c>
      <c r="BB52" s="93">
        <f>nSD*NseMeas!X52*AO52</f>
        <v>1.5242436838356543E-3</v>
      </c>
      <c r="BC52" s="93">
        <f t="shared" si="35"/>
        <v>9.0874129373498155E-6</v>
      </c>
      <c r="BD52" s="93">
        <f>nSD*NseMeas!X52*AP52</f>
        <v>0.45096991767149275</v>
      </c>
      <c r="BE52" s="93">
        <f t="shared" si="36"/>
        <v>2.6878157133072068E-3</v>
      </c>
      <c r="BF52" s="93">
        <f>nSD*NseMeas!X52*AR52</f>
        <v>8.992289230408437E-4</v>
      </c>
      <c r="BG52" s="93">
        <f t="shared" si="37"/>
        <v>5.3611296806743359E-6</v>
      </c>
      <c r="BH52" s="91">
        <f t="shared" si="38"/>
        <v>4.3996442508359209E-3</v>
      </c>
      <c r="BI52" s="93">
        <f t="shared" si="39"/>
        <v>2.6230258062261032E-5</v>
      </c>
    </row>
    <row r="53" spans="1:61">
      <c r="A53" s="91">
        <f t="shared" si="64"/>
        <v>25.443999999999988</v>
      </c>
      <c r="B53" s="92">
        <f>T_0*(1+10^('User Cal. Noise Std'!AA54/10))</f>
        <v>4886.1902581372296</v>
      </c>
      <c r="C53" s="92">
        <f t="shared" si="40"/>
        <v>296</v>
      </c>
      <c r="D53" s="93">
        <f t="shared" si="41"/>
        <v>296</v>
      </c>
      <c r="E53" s="92">
        <f>IF(UsePreamp,T_0*(10^(Preamp!AE54/10)-1),0)</f>
        <v>627.06052144883006</v>
      </c>
      <c r="F53" s="92">
        <f>T_0*(10^((FieldFox!B53-kT0dB)/10)-1)</f>
        <v>45411.676407373438</v>
      </c>
      <c r="G53" s="93">
        <f>IF(UsePreamp,10^(Preamp!AD54/10),1)</f>
        <v>186.87189945834621</v>
      </c>
      <c r="H53" s="94">
        <f t="shared" si="42"/>
        <v>5.3017655667508269E-8</v>
      </c>
      <c r="I53" s="94">
        <f t="shared" si="43"/>
        <v>1.0740012189393503E-8</v>
      </c>
      <c r="J53" s="94">
        <f t="shared" si="44"/>
        <v>2.2528134443143055E-9</v>
      </c>
      <c r="K53" s="95">
        <f t="shared" si="45"/>
        <v>627.06052144882983</v>
      </c>
      <c r="L53" s="93">
        <f t="shared" si="46"/>
        <v>186.87189945834621</v>
      </c>
      <c r="M53" s="94">
        <f t="shared" si="47"/>
        <v>5.7754994181380177E-9</v>
      </c>
      <c r="N53" s="94">
        <f t="shared" si="48"/>
        <v>5.7754994181380186E-9</v>
      </c>
      <c r="O53" s="94">
        <f t="shared" si="49"/>
        <v>4.5003931881375936E-8</v>
      </c>
      <c r="P53" s="91">
        <f t="shared" si="50"/>
        <v>1.0644853444746147</v>
      </c>
      <c r="Q53" s="94">
        <f t="shared" si="51"/>
        <v>6.4485344474614736E-2</v>
      </c>
      <c r="R53" s="94">
        <f t="shared" si="52"/>
        <v>5.9393799601839384E-13</v>
      </c>
      <c r="S53" s="91">
        <v>-1</v>
      </c>
      <c r="T53" s="93">
        <f>FieldFox!AD53</f>
        <v>5.5</v>
      </c>
      <c r="U53" s="93">
        <f>FieldFox!AC53</f>
        <v>3.3153766860545764</v>
      </c>
      <c r="V53" s="93">
        <f>FieldFox!AE53</f>
        <v>2.1846233139454236</v>
      </c>
      <c r="W53" s="94">
        <f t="shared" si="53"/>
        <v>1.8054045564434553E-4</v>
      </c>
      <c r="X53" s="94">
        <f t="shared" si="54"/>
        <v>2.3253559400117788E-4</v>
      </c>
      <c r="Y53" s="94">
        <f t="shared" si="55"/>
        <v>2.8646238071004869E-4</v>
      </c>
      <c r="Z53" s="91">
        <f>IF(UsePreamp,Preamp!AF54,FieldFox!D53)</f>
        <v>0.3981071705534972</v>
      </c>
      <c r="AA53" s="91">
        <f t="shared" si="56"/>
        <v>0.40853898265363492</v>
      </c>
      <c r="AB53" s="91">
        <f>'User Cal. Noise Std'!AC54</f>
        <v>0.22</v>
      </c>
      <c r="AC53" s="91">
        <f>'User Cal. Noise Std'!AD54</f>
        <v>0.12</v>
      </c>
      <c r="AD53" s="91">
        <f>IF(UsePreamp,Preamp!AH54,0)</f>
        <v>0</v>
      </c>
      <c r="AE53" s="91">
        <f>DUT!AG54</f>
        <v>0.31622776601683794</v>
      </c>
      <c r="AF53" s="94">
        <f t="shared" si="57"/>
        <v>3.220598884910495E-9</v>
      </c>
      <c r="AG53" s="94">
        <f t="shared" si="58"/>
        <v>0</v>
      </c>
      <c r="AH53" s="91">
        <f t="shared" si="25"/>
        <v>3.220598884910495E-9</v>
      </c>
      <c r="AI53" s="94">
        <f t="shared" si="59"/>
        <v>0</v>
      </c>
      <c r="AJ53" s="94">
        <f t="shared" si="60"/>
        <v>0</v>
      </c>
      <c r="AK53" s="91">
        <f t="shared" si="26"/>
        <v>0</v>
      </c>
      <c r="AL53" s="94">
        <f t="shared" si="61"/>
        <v>2.064044208919378E-12</v>
      </c>
      <c r="AM53" s="94">
        <f t="shared" si="27"/>
        <v>0</v>
      </c>
      <c r="AN53" s="91">
        <f t="shared" si="28"/>
        <v>2.064044208919378E-12</v>
      </c>
      <c r="AO53" s="94">
        <f t="shared" si="62"/>
        <v>7.9500705690276221E-13</v>
      </c>
      <c r="AP53" s="94">
        <f t="shared" si="29"/>
        <v>2.0768142850801338E-10</v>
      </c>
      <c r="AQ53" s="94">
        <f t="shared" si="30"/>
        <v>2.0768295015082388E-10</v>
      </c>
      <c r="AR53" s="94">
        <f t="shared" si="63"/>
        <v>6.4534630255388062E-13</v>
      </c>
      <c r="AS53" s="94">
        <f>B53*(10^('User Cal. Noise Std'!AB54/(ENRconf*10))-1)*R53</f>
        <v>3.3604665310855609E-11</v>
      </c>
      <c r="AT53" s="91">
        <f t="shared" si="31"/>
        <v>2.1039524249457452E-10</v>
      </c>
      <c r="AU53" s="93">
        <f>NseMeas!H53</f>
        <v>438.4470651377784</v>
      </c>
      <c r="AV53" s="93">
        <f>nSD*NseMeas!X53*AT53</f>
        <v>0.45686283009455997</v>
      </c>
      <c r="AW53" s="93">
        <f t="shared" si="32"/>
        <v>2.7229269206266319E-3</v>
      </c>
      <c r="AX53" s="93">
        <f>nSD*NseMeas!X53*AL53</f>
        <v>4.4819695899326771E-3</v>
      </c>
      <c r="AY53" s="93">
        <f t="shared" si="33"/>
        <v>2.6721072346359549E-5</v>
      </c>
      <c r="AZ53" s="93">
        <f>nSD*NseMeas!X53*AM53</f>
        <v>0</v>
      </c>
      <c r="BA53" s="93">
        <f t="shared" si="34"/>
        <v>0</v>
      </c>
      <c r="BB53" s="93">
        <f>nSD*NseMeas!X53*AO53</f>
        <v>1.726318378948654E-3</v>
      </c>
      <c r="BC53" s="93">
        <f t="shared" si="35"/>
        <v>1.0292163885196969E-5</v>
      </c>
      <c r="BD53" s="93">
        <f>nSD*NseMeas!X53*AP53</f>
        <v>0.45096991767149275</v>
      </c>
      <c r="BE53" s="93">
        <f t="shared" si="36"/>
        <v>2.6878157133072068E-3</v>
      </c>
      <c r="BF53" s="93">
        <f>nSD*NseMeas!X53*AR53</f>
        <v>1.4013374764566219E-3</v>
      </c>
      <c r="BG53" s="93">
        <f t="shared" si="37"/>
        <v>8.3546571475535126E-6</v>
      </c>
      <c r="BH53" s="91">
        <f t="shared" si="38"/>
        <v>5.00319630571288E-3</v>
      </c>
      <c r="BI53" s="93">
        <f t="shared" si="39"/>
        <v>2.9828565307163971E-5</v>
      </c>
    </row>
    <row r="54" spans="1:61">
      <c r="A54" s="91">
        <f t="shared" si="64"/>
        <v>25.971999999999987</v>
      </c>
      <c r="B54" s="92">
        <f>T_0*(1+10^('User Cal. Noise Std'!AA55/10))</f>
        <v>4886.1902581372296</v>
      </c>
      <c r="C54" s="92">
        <f t="shared" si="40"/>
        <v>296</v>
      </c>
      <c r="D54" s="93">
        <f t="shared" si="41"/>
        <v>296</v>
      </c>
      <c r="E54" s="92">
        <f>IF(UsePreamp,T_0*(10^(Preamp!AE55/10)-1),0)</f>
        <v>627.06052144883006</v>
      </c>
      <c r="F54" s="92">
        <f>T_0*(10^((FieldFox!B54-kT0dB)/10)-1)</f>
        <v>45411.676407373438</v>
      </c>
      <c r="G54" s="93">
        <f>IF(UsePreamp,10^(Preamp!AD55/10),1)</f>
        <v>192.87325062268857</v>
      </c>
      <c r="H54" s="94">
        <f t="shared" si="42"/>
        <v>5.4648426265106381E-8</v>
      </c>
      <c r="I54" s="94">
        <f t="shared" si="43"/>
        <v>1.1013045290618647E-8</v>
      </c>
      <c r="J54" s="94">
        <f t="shared" si="44"/>
        <v>2.2528134443143055E-9</v>
      </c>
      <c r="K54" s="95">
        <f t="shared" si="45"/>
        <v>627.06052144882972</v>
      </c>
      <c r="L54" s="93">
        <f t="shared" si="46"/>
        <v>192.87325062268863</v>
      </c>
      <c r="M54" s="94">
        <f t="shared" si="47"/>
        <v>5.9609783492034492E-9</v>
      </c>
      <c r="N54" s="94">
        <f t="shared" si="48"/>
        <v>5.9609783492034517E-9</v>
      </c>
      <c r="O54" s="94">
        <f t="shared" si="49"/>
        <v>4.6449223547908618E-8</v>
      </c>
      <c r="P54" s="91">
        <f t="shared" si="50"/>
        <v>1.0644853444746147</v>
      </c>
      <c r="Q54" s="94">
        <f t="shared" si="51"/>
        <v>6.4485344474614736E-2</v>
      </c>
      <c r="R54" s="94">
        <f t="shared" si="52"/>
        <v>6.1301218798777916E-13</v>
      </c>
      <c r="S54" s="91">
        <v>-1</v>
      </c>
      <c r="T54" s="93">
        <f>FieldFox!AD54</f>
        <v>5.5</v>
      </c>
      <c r="U54" s="93">
        <f>FieldFox!AC54</f>
        <v>3.3551452967790163</v>
      </c>
      <c r="V54" s="93">
        <f>FieldFox!AE54</f>
        <v>2.1448547032209837</v>
      </c>
      <c r="W54" s="94">
        <f t="shared" si="53"/>
        <v>1.8054045564434553E-4</v>
      </c>
      <c r="X54" s="94">
        <f t="shared" si="54"/>
        <v>2.3115336113673746E-4</v>
      </c>
      <c r="Y54" s="94">
        <f t="shared" si="55"/>
        <v>2.8910589030484548E-4</v>
      </c>
      <c r="Z54" s="91">
        <f>IF(UsePreamp,Preamp!AF55,FieldFox!D54)</f>
        <v>0.3981071705534972</v>
      </c>
      <c r="AA54" s="91">
        <f t="shared" si="56"/>
        <v>0.40853898265363492</v>
      </c>
      <c r="AB54" s="91">
        <f>'User Cal. Noise Std'!AC55</f>
        <v>0.22</v>
      </c>
      <c r="AC54" s="91">
        <f>'User Cal. Noise Std'!AD55</f>
        <v>0.12</v>
      </c>
      <c r="AD54" s="91">
        <f>IF(UsePreamp,Preamp!AH55,0)</f>
        <v>0</v>
      </c>
      <c r="AE54" s="91">
        <f>DUT!AG55</f>
        <v>0.31622776601683794</v>
      </c>
      <c r="AF54" s="94">
        <f t="shared" si="57"/>
        <v>3.3240277306805651E-9</v>
      </c>
      <c r="AG54" s="94">
        <f t="shared" si="58"/>
        <v>0</v>
      </c>
      <c r="AH54" s="91">
        <f t="shared" si="25"/>
        <v>3.3240277306805651E-9</v>
      </c>
      <c r="AI54" s="94">
        <f t="shared" si="59"/>
        <v>0</v>
      </c>
      <c r="AJ54" s="94">
        <f t="shared" si="60"/>
        <v>0</v>
      </c>
      <c r="AK54" s="91">
        <f t="shared" si="26"/>
        <v>0</v>
      </c>
      <c r="AL54" s="94">
        <f t="shared" si="61"/>
        <v>2.1165164390704395E-12</v>
      </c>
      <c r="AM54" s="94">
        <f t="shared" si="27"/>
        <v>0</v>
      </c>
      <c r="AN54" s="91">
        <f t="shared" si="28"/>
        <v>2.1165164390704395E-12</v>
      </c>
      <c r="AO54" s="94">
        <f t="shared" si="62"/>
        <v>8.1458966702462885E-13</v>
      </c>
      <c r="AP54" s="94">
        <f t="shared" si="29"/>
        <v>2.1435107325610813E-10</v>
      </c>
      <c r="AQ54" s="94">
        <f t="shared" si="30"/>
        <v>2.1435262107651276E-10</v>
      </c>
      <c r="AR54" s="94">
        <f t="shared" si="63"/>
        <v>6.5130163650921271E-13</v>
      </c>
      <c r="AS54" s="94">
        <f>B54*(10^('User Cal. Noise Std'!AB55/(ENRconf*10))-1)*R54</f>
        <v>3.4683871964585757E-11</v>
      </c>
      <c r="AT54" s="91">
        <f t="shared" si="31"/>
        <v>2.1715183851969898E-10</v>
      </c>
      <c r="AU54" s="93">
        <f>NseMeas!H54</f>
        <v>438.4470651377784</v>
      </c>
      <c r="AV54" s="93">
        <f>nSD*NseMeas!X54*AT54</f>
        <v>0.45686240452099691</v>
      </c>
      <c r="AW54" s="93">
        <f t="shared" si="32"/>
        <v>2.7229243849797463E-3</v>
      </c>
      <c r="AX54" s="93">
        <f>nSD*NseMeas!X54*AL54</f>
        <v>4.4529062988993354E-3</v>
      </c>
      <c r="AY54" s="93">
        <f t="shared" si="33"/>
        <v>2.6547800325591039E-5</v>
      </c>
      <c r="AZ54" s="93">
        <f>nSD*NseMeas!X54*AM54</f>
        <v>0</v>
      </c>
      <c r="BA54" s="93">
        <f t="shared" si="34"/>
        <v>0</v>
      </c>
      <c r="BB54" s="93">
        <f>nSD*NseMeas!X54*AO54</f>
        <v>1.713802639258198E-3</v>
      </c>
      <c r="BC54" s="93">
        <f t="shared" si="35"/>
        <v>1.0217546193748054E-5</v>
      </c>
      <c r="BD54" s="93">
        <f>nSD*NseMeas!X54*AP54</f>
        <v>0.45096991767149264</v>
      </c>
      <c r="BE54" s="93">
        <f t="shared" si="36"/>
        <v>2.6878157133072068E-3</v>
      </c>
      <c r="BF54" s="93">
        <f>nSD*NseMeas!X54*AR54</f>
        <v>1.3702634698027961E-3</v>
      </c>
      <c r="BG54" s="93">
        <f t="shared" si="37"/>
        <v>8.1693966853696831E-6</v>
      </c>
      <c r="BH54" s="91">
        <f t="shared" si="38"/>
        <v>4.96418331347481E-3</v>
      </c>
      <c r="BI54" s="93">
        <f t="shared" si="39"/>
        <v>2.9595974469367256E-5</v>
      </c>
    </row>
    <row r="55" spans="1:61">
      <c r="A55" s="91">
        <f t="shared" si="64"/>
        <v>26.499999999999986</v>
      </c>
      <c r="B55" s="92">
        <f>T_0*(1+10^('User Cal. Noise Std'!AA56/10))</f>
        <v>4886.1902581372296</v>
      </c>
      <c r="C55" s="92">
        <f t="shared" si="40"/>
        <v>296</v>
      </c>
      <c r="D55" s="93">
        <f t="shared" si="41"/>
        <v>296</v>
      </c>
      <c r="E55" s="92">
        <f>IF(UsePreamp,T_0*(10^(Preamp!AE56/10)-1),0)</f>
        <v>627.06052144883006</v>
      </c>
      <c r="F55" s="92">
        <f>T_0*(10^((FieldFox!B55-kT0dB)/10)-1)</f>
        <v>45411.676407373438</v>
      </c>
      <c r="G55" s="93">
        <f>IF(UsePreamp,10^(Preamp!AD56/10),1)</f>
        <v>199.06733389871874</v>
      </c>
      <c r="H55" s="94">
        <f t="shared" si="42"/>
        <v>5.6331568712367433E-8</v>
      </c>
      <c r="I55" s="94">
        <f t="shared" si="43"/>
        <v>1.1294846791612243E-8</v>
      </c>
      <c r="J55" s="94">
        <f t="shared" si="44"/>
        <v>2.2528134443143055E-9</v>
      </c>
      <c r="K55" s="95">
        <f t="shared" si="45"/>
        <v>627.06052144883029</v>
      </c>
      <c r="L55" s="93">
        <f t="shared" si="46"/>
        <v>199.06733389871874</v>
      </c>
      <c r="M55" s="94">
        <f t="shared" si="47"/>
        <v>6.1524138965506071E-9</v>
      </c>
      <c r="N55" s="94">
        <f t="shared" si="48"/>
        <v>6.1524138965506054E-9</v>
      </c>
      <c r="O55" s="94">
        <f t="shared" si="49"/>
        <v>4.7940930447822517E-8</v>
      </c>
      <c r="P55" s="91">
        <f t="shared" si="50"/>
        <v>1.0644853444746147</v>
      </c>
      <c r="Q55" s="94">
        <f t="shared" si="51"/>
        <v>6.4485344474614736E-2</v>
      </c>
      <c r="R55" s="94">
        <f t="shared" si="52"/>
        <v>6.3269894356098087E-13</v>
      </c>
      <c r="S55" s="91">
        <v>-1</v>
      </c>
      <c r="T55" s="93">
        <f>FieldFox!AD55</f>
        <v>5.5</v>
      </c>
      <c r="U55" s="93">
        <f>FieldFox!AC55</f>
        <v>3.3947006897747438</v>
      </c>
      <c r="V55" s="93">
        <f>FieldFox!AE55</f>
        <v>2.1052993102252557</v>
      </c>
      <c r="W55" s="94">
        <f t="shared" si="53"/>
        <v>1.8054045564434553E-4</v>
      </c>
      <c r="X55" s="94">
        <f t="shared" si="54"/>
        <v>2.2980270403345849E-4</v>
      </c>
      <c r="Y55" s="94">
        <f t="shared" si="55"/>
        <v>2.9180918312111872E-4</v>
      </c>
      <c r="Z55" s="91">
        <f>IF(UsePreamp,Preamp!AF56,FieldFox!D55)</f>
        <v>0.3981071705534972</v>
      </c>
      <c r="AA55" s="91">
        <f t="shared" si="56"/>
        <v>0.40853898265363492</v>
      </c>
      <c r="AB55" s="91">
        <f>'User Cal. Noise Std'!AC56</f>
        <v>0.22</v>
      </c>
      <c r="AC55" s="91">
        <f>'User Cal. Noise Std'!AD56</f>
        <v>0.12</v>
      </c>
      <c r="AD55" s="91">
        <f>IF(UsePreamp,Preamp!AH56,0)</f>
        <v>0</v>
      </c>
      <c r="AE55" s="91">
        <f>DUT!AG56</f>
        <v>0.31622776601683794</v>
      </c>
      <c r="AF55" s="94">
        <f t="shared" si="57"/>
        <v>3.4307781717562297E-9</v>
      </c>
      <c r="AG55" s="94">
        <f t="shared" si="58"/>
        <v>0</v>
      </c>
      <c r="AH55" s="91">
        <f t="shared" si="25"/>
        <v>3.4307781717562297E-9</v>
      </c>
      <c r="AI55" s="94">
        <f t="shared" si="59"/>
        <v>0</v>
      </c>
      <c r="AJ55" s="94">
        <f t="shared" si="60"/>
        <v>0</v>
      </c>
      <c r="AK55" s="91">
        <f t="shared" si="26"/>
        <v>0</v>
      </c>
      <c r="AL55" s="94">
        <f t="shared" si="61"/>
        <v>2.1706738036928968E-12</v>
      </c>
      <c r="AM55" s="94">
        <f t="shared" si="27"/>
        <v>0</v>
      </c>
      <c r="AN55" s="91">
        <f t="shared" si="28"/>
        <v>2.1706738036928968E-12</v>
      </c>
      <c r="AO55" s="94">
        <f t="shared" si="62"/>
        <v>8.3477225148165766E-13</v>
      </c>
      <c r="AP55" s="94">
        <f t="shared" si="29"/>
        <v>2.2123491222168943E-10</v>
      </c>
      <c r="AQ55" s="94">
        <f t="shared" si="30"/>
        <v>2.2123648711379069E-10</v>
      </c>
      <c r="AR55" s="94">
        <f t="shared" si="63"/>
        <v>6.5739165090963133E-13</v>
      </c>
      <c r="AS55" s="94">
        <f>B55*(10^('User Cal. Noise Std'!AB56/(ENRconf*10))-1)*R55</f>
        <v>3.5797737109649783E-11</v>
      </c>
      <c r="AT55" s="91">
        <f t="shared" si="31"/>
        <v>2.2412542292468027E-10</v>
      </c>
      <c r="AU55" s="93">
        <f>NseMeas!H55</f>
        <v>438.4470651377784</v>
      </c>
      <c r="AV55" s="93">
        <f>nSD*NseMeas!X55*AT55</f>
        <v>0.45686199573758995</v>
      </c>
      <c r="AW55" s="93">
        <f t="shared" si="32"/>
        <v>2.7229219493721305E-3</v>
      </c>
      <c r="AX55" s="93">
        <f>nSD*NseMeas!X55*AL55</f>
        <v>4.4247473272307587E-3</v>
      </c>
      <c r="AY55" s="93">
        <f t="shared" si="33"/>
        <v>2.6379919746740553E-5</v>
      </c>
      <c r="AZ55" s="93">
        <f>nSD*NseMeas!X55*AM55</f>
        <v>0</v>
      </c>
      <c r="BA55" s="93">
        <f t="shared" si="34"/>
        <v>0</v>
      </c>
      <c r="BB55" s="93">
        <f>nSD*NseMeas!X55*AO55</f>
        <v>1.7016173882533478E-3</v>
      </c>
      <c r="BC55" s="93">
        <f t="shared" si="35"/>
        <v>1.0144898844046051E-5</v>
      </c>
      <c r="BD55" s="93">
        <f>nSD*NseMeas!X55*AP55</f>
        <v>0.4509699176714928</v>
      </c>
      <c r="BE55" s="93">
        <f t="shared" si="36"/>
        <v>2.6878157133072068E-3</v>
      </c>
      <c r="BF55" s="93">
        <f>nSD*NseMeas!X55*AR55</f>
        <v>1.3400410256748727E-3</v>
      </c>
      <c r="BG55" s="93">
        <f t="shared" si="37"/>
        <v>7.9892131566907041E-6</v>
      </c>
      <c r="BH55" s="91">
        <f t="shared" si="38"/>
        <v>4.9264186379492413E-3</v>
      </c>
      <c r="BI55" s="93">
        <f t="shared" si="39"/>
        <v>2.9370825935733352E-5</v>
      </c>
    </row>
    <row r="56" spans="1:61">
      <c r="A56" s="91">
        <f t="shared" si="64"/>
        <v>26.500001000000001</v>
      </c>
      <c r="B56" s="92">
        <f>T_0*(1+10^('User Cal. Noise Std'!AA57/10))</f>
        <v>4886.1902581372296</v>
      </c>
      <c r="C56" s="92">
        <f t="shared" si="40"/>
        <v>296</v>
      </c>
      <c r="D56" s="93">
        <f t="shared" si="41"/>
        <v>296</v>
      </c>
      <c r="E56" s="92">
        <f>IF(UsePreamp,T_0*(10^(Preamp!AE57/10)-1),0)</f>
        <v>627.06052144883006</v>
      </c>
      <c r="F56" s="92">
        <f>T_0*(10^((FieldFox!B56-kT0dB)/10)-1)</f>
        <v>45411.676407373438</v>
      </c>
      <c r="G56" s="93">
        <f>IF(UsePreamp,10^(Preamp!AD57/10),1)</f>
        <v>199.06734581632566</v>
      </c>
      <c r="H56" s="94">
        <f t="shared" si="42"/>
        <v>5.6331571950785328E-8</v>
      </c>
      <c r="I56" s="94">
        <f t="shared" si="43"/>
        <v>1.1294847333807005E-8</v>
      </c>
      <c r="J56" s="94">
        <f t="shared" si="44"/>
        <v>2.2528134443143055E-9</v>
      </c>
      <c r="K56" s="95">
        <f t="shared" si="45"/>
        <v>627.06052144882983</v>
      </c>
      <c r="L56" s="93">
        <f t="shared" si="46"/>
        <v>199.06734581632574</v>
      </c>
      <c r="M56" s="94">
        <f t="shared" si="47"/>
        <v>6.1524142648784919E-9</v>
      </c>
      <c r="N56" s="94">
        <f t="shared" si="48"/>
        <v>6.1524142648784927E-9</v>
      </c>
      <c r="O56" s="94">
        <f t="shared" si="49"/>
        <v>4.7940933317912516E-8</v>
      </c>
      <c r="P56" s="91">
        <f t="shared" si="50"/>
        <v>1.0644853444746147</v>
      </c>
      <c r="Q56" s="94">
        <f t="shared" si="51"/>
        <v>6.4485344474614736E-2</v>
      </c>
      <c r="R56" s="94">
        <f t="shared" si="52"/>
        <v>6.3269898143890479E-13</v>
      </c>
      <c r="S56" s="91">
        <v>-1</v>
      </c>
      <c r="T56" s="93">
        <f>FieldFox!AD56</f>
        <v>5.5</v>
      </c>
      <c r="U56" s="93">
        <f>FieldFox!AC56</f>
        <v>3.3947007644769931</v>
      </c>
      <c r="V56" s="93">
        <f>FieldFox!AE56</f>
        <v>2.1052992355230069</v>
      </c>
      <c r="W56" s="94">
        <f t="shared" si="53"/>
        <v>1.8054045564434553E-4</v>
      </c>
      <c r="X56" s="94">
        <f t="shared" si="54"/>
        <v>2.2980270150499131E-4</v>
      </c>
      <c r="Y56" s="94">
        <f t="shared" si="55"/>
        <v>2.9180918829824546E-4</v>
      </c>
      <c r="Z56" s="91">
        <f>IF(UsePreamp,Preamp!AF57,FieldFox!D56)</f>
        <v>0.3981071705534972</v>
      </c>
      <c r="AA56" s="91">
        <f t="shared" si="56"/>
        <v>0.40853898265363492</v>
      </c>
      <c r="AB56" s="91">
        <f>'User Cal. Noise Std'!AC57</f>
        <v>0.22</v>
      </c>
      <c r="AC56" s="91">
        <f>'User Cal. Noise Std'!AD57</f>
        <v>0.12</v>
      </c>
      <c r="AD56" s="91">
        <f>IF(UsePreamp,Preamp!AH57,0)</f>
        <v>0</v>
      </c>
      <c r="AE56" s="91">
        <f>DUT!AG57</f>
        <v>0.31622776601683794</v>
      </c>
      <c r="AF56" s="94">
        <f t="shared" si="57"/>
        <v>3.4307783771473645E-9</v>
      </c>
      <c r="AG56" s="94">
        <f t="shared" si="58"/>
        <v>0</v>
      </c>
      <c r="AH56" s="91">
        <f t="shared" si="25"/>
        <v>3.4307783771473645E-9</v>
      </c>
      <c r="AI56" s="94">
        <f t="shared" si="59"/>
        <v>0</v>
      </c>
      <c r="AJ56" s="94">
        <f t="shared" si="60"/>
        <v>0</v>
      </c>
      <c r="AK56" s="91">
        <f t="shared" si="26"/>
        <v>0</v>
      </c>
      <c r="AL56" s="94">
        <f t="shared" si="61"/>
        <v>2.1706739078933333E-12</v>
      </c>
      <c r="AM56" s="94">
        <f t="shared" si="27"/>
        <v>0</v>
      </c>
      <c r="AN56" s="91">
        <f t="shared" si="28"/>
        <v>2.1706739078933333E-12</v>
      </c>
      <c r="AO56" s="94">
        <f t="shared" si="62"/>
        <v>8.3477229028665889E-13</v>
      </c>
      <c r="AP56" s="94">
        <f t="shared" si="29"/>
        <v>2.2123492546640751E-10</v>
      </c>
      <c r="AQ56" s="94">
        <f t="shared" si="30"/>
        <v>2.212365003585609E-10</v>
      </c>
      <c r="AR56" s="94">
        <f t="shared" si="63"/>
        <v>6.5739166257273206E-13</v>
      </c>
      <c r="AS56" s="94">
        <f>B56*(10^('User Cal. Noise Std'!AB57/(ENRconf*10))-1)*R56</f>
        <v>3.5797739252760619E-11</v>
      </c>
      <c r="AT56" s="91">
        <f t="shared" si="31"/>
        <v>2.2412543634207295E-10</v>
      </c>
      <c r="AU56" s="93">
        <f>NseMeas!H56</f>
        <v>438.4470651377784</v>
      </c>
      <c r="AV56" s="93">
        <f>nSD*NseMeas!X56*AT56</f>
        <v>0.45686199573683128</v>
      </c>
      <c r="AW56" s="93">
        <f t="shared" si="32"/>
        <v>2.7229219493682755E-3</v>
      </c>
      <c r="AX56" s="93">
        <f>nSD*NseMeas!X56*AL56</f>
        <v>4.4247472747378329E-3</v>
      </c>
      <c r="AY56" s="93">
        <f t="shared" si="33"/>
        <v>2.6379919433336028E-5</v>
      </c>
      <c r="AZ56" s="93">
        <f>nSD*NseMeas!X56*AM56</f>
        <v>0</v>
      </c>
      <c r="BA56" s="93">
        <f t="shared" si="34"/>
        <v>0</v>
      </c>
      <c r="BB56" s="93">
        <f>nSD*NseMeas!X56*AO56</f>
        <v>1.7016173654831894E-3</v>
      </c>
      <c r="BC56" s="93">
        <f t="shared" si="35"/>
        <v>1.0144898708076197E-5</v>
      </c>
      <c r="BD56" s="93">
        <f>nSD*NseMeas!X56*AP56</f>
        <v>0.45096991767149286</v>
      </c>
      <c r="BE56" s="93">
        <f t="shared" si="36"/>
        <v>2.6878157133072068E-3</v>
      </c>
      <c r="BF56" s="93">
        <f>nSD*NseMeas!X56*AR56</f>
        <v>1.340040969224663E-3</v>
      </c>
      <c r="BG56" s="93">
        <f t="shared" si="37"/>
        <v>7.9892128201410378E-6</v>
      </c>
      <c r="BH56" s="91">
        <f t="shared" si="38"/>
        <v>4.9264185675817682E-3</v>
      </c>
      <c r="BI56" s="93">
        <f t="shared" si="39"/>
        <v>2.9370825516253739E-5</v>
      </c>
    </row>
    <row r="57" spans="1:61">
      <c r="A57" s="91">
        <f t="shared" si="64"/>
        <v>26.500001000000001</v>
      </c>
      <c r="B57" s="92">
        <f>T_0*(1+10^('User Cal. Noise Std'!AA58/10))</f>
        <v>4886.1902581372296</v>
      </c>
      <c r="C57" s="92">
        <f t="shared" si="40"/>
        <v>296</v>
      </c>
      <c r="D57" s="93">
        <f t="shared" si="41"/>
        <v>296</v>
      </c>
      <c r="E57" s="92">
        <f>IF(UsePreamp,T_0*(10^(Preamp!AE58/10)-1),0)</f>
        <v>627.06052144883006</v>
      </c>
      <c r="F57" s="92">
        <f>T_0*(10^((FieldFox!B57-kT0dB)/10)-1)</f>
        <v>45411.676407373438</v>
      </c>
      <c r="G57" s="93">
        <f>IF(UsePreamp,10^(Preamp!AD58/10),1)</f>
        <v>199.06734581632566</v>
      </c>
      <c r="H57" s="94">
        <f t="shared" si="42"/>
        <v>5.6331571950785328E-8</v>
      </c>
      <c r="I57" s="94">
        <f t="shared" si="43"/>
        <v>1.1294847333807005E-8</v>
      </c>
      <c r="J57" s="94">
        <f t="shared" si="44"/>
        <v>2.2528134443143055E-9</v>
      </c>
      <c r="K57" s="95">
        <f t="shared" si="45"/>
        <v>627.06052144882983</v>
      </c>
      <c r="L57" s="93">
        <f t="shared" si="46"/>
        <v>199.06734581632574</v>
      </c>
      <c r="M57" s="94">
        <f t="shared" si="47"/>
        <v>6.1524142648784919E-9</v>
      </c>
      <c r="N57" s="94">
        <f t="shared" si="48"/>
        <v>6.1524142648784927E-9</v>
      </c>
      <c r="O57" s="94">
        <f t="shared" si="49"/>
        <v>4.7940933317912516E-8</v>
      </c>
      <c r="P57" s="91">
        <f t="shared" si="50"/>
        <v>1.0644853444746147</v>
      </c>
      <c r="Q57" s="94">
        <f t="shared" si="51"/>
        <v>6.4485344474614736E-2</v>
      </c>
      <c r="R57" s="94">
        <f t="shared" si="52"/>
        <v>6.3269898143890479E-13</v>
      </c>
      <c r="S57" s="91">
        <v>-1</v>
      </c>
      <c r="T57" s="93">
        <f>FieldFox!AD57</f>
        <v>5.5</v>
      </c>
      <c r="U57" s="93">
        <f>FieldFox!AC57</f>
        <v>3.3947007644769931</v>
      </c>
      <c r="V57" s="93">
        <f>FieldFox!AE57</f>
        <v>2.1052992355230069</v>
      </c>
      <c r="W57" s="94">
        <f t="shared" si="53"/>
        <v>1.8054045564434553E-4</v>
      </c>
      <c r="X57" s="94">
        <f t="shared" si="54"/>
        <v>2.2980270150499131E-4</v>
      </c>
      <c r="Y57" s="94">
        <f t="shared" si="55"/>
        <v>2.9180918829824546E-4</v>
      </c>
      <c r="Z57" s="91">
        <f>IF(UsePreamp,Preamp!AF58,FieldFox!D57)</f>
        <v>0.3981071705534972</v>
      </c>
      <c r="AA57" s="91">
        <f t="shared" si="56"/>
        <v>0.40853898265363492</v>
      </c>
      <c r="AB57" s="91">
        <f>'User Cal. Noise Std'!AC58</f>
        <v>0.22</v>
      </c>
      <c r="AC57" s="91">
        <f>'User Cal. Noise Std'!AD58</f>
        <v>0.12</v>
      </c>
      <c r="AD57" s="91">
        <f>IF(UsePreamp,Preamp!AH58,0)</f>
        <v>0</v>
      </c>
      <c r="AE57" s="91">
        <f>DUT!AG58</f>
        <v>0.31622776601683794</v>
      </c>
      <c r="AF57" s="94">
        <f t="shared" si="57"/>
        <v>3.4307783771473645E-9</v>
      </c>
      <c r="AG57" s="94">
        <f t="shared" si="58"/>
        <v>0</v>
      </c>
      <c r="AH57" s="91">
        <f t="shared" si="25"/>
        <v>3.4307783771473645E-9</v>
      </c>
      <c r="AI57" s="94">
        <f t="shared" si="59"/>
        <v>0</v>
      </c>
      <c r="AJ57" s="94">
        <f t="shared" si="60"/>
        <v>0</v>
      </c>
      <c r="AK57" s="91">
        <f t="shared" si="26"/>
        <v>0</v>
      </c>
      <c r="AL57" s="94">
        <f t="shared" si="61"/>
        <v>2.1706739078933333E-12</v>
      </c>
      <c r="AM57" s="94">
        <f t="shared" si="27"/>
        <v>0</v>
      </c>
      <c r="AN57" s="91">
        <f t="shared" si="28"/>
        <v>2.1706739078933333E-12</v>
      </c>
      <c r="AO57" s="94">
        <f t="shared" si="62"/>
        <v>8.3477229028665889E-13</v>
      </c>
      <c r="AP57" s="94">
        <f t="shared" si="29"/>
        <v>2.2123492546640751E-10</v>
      </c>
      <c r="AQ57" s="94">
        <f t="shared" si="30"/>
        <v>2.212365003585609E-10</v>
      </c>
      <c r="AR57" s="94">
        <f t="shared" si="63"/>
        <v>6.5739166257273206E-13</v>
      </c>
      <c r="AS57" s="94">
        <f>B57*(10^('User Cal. Noise Std'!AB58/(ENRconf*10))-1)*R57</f>
        <v>3.5797739252760619E-11</v>
      </c>
      <c r="AT57" s="91">
        <f t="shared" si="31"/>
        <v>2.2412543634207295E-10</v>
      </c>
      <c r="AU57" s="93">
        <f>NseMeas!H57</f>
        <v>438.4470651377784</v>
      </c>
      <c r="AV57" s="93">
        <f>nSD*NseMeas!X57*AT57</f>
        <v>0.45686199573683128</v>
      </c>
      <c r="AW57" s="93">
        <f t="shared" si="32"/>
        <v>2.7229219493682755E-3</v>
      </c>
      <c r="AX57" s="93">
        <f>nSD*NseMeas!X57*AL57</f>
        <v>4.4247472747378329E-3</v>
      </c>
      <c r="AY57" s="93">
        <f t="shared" si="33"/>
        <v>2.6379919433336028E-5</v>
      </c>
      <c r="AZ57" s="93">
        <f>nSD*NseMeas!X57*AM57</f>
        <v>0</v>
      </c>
      <c r="BA57" s="93">
        <f t="shared" si="34"/>
        <v>0</v>
      </c>
      <c r="BB57" s="93">
        <f>nSD*NseMeas!X57*AO57</f>
        <v>1.7016173654831894E-3</v>
      </c>
      <c r="BC57" s="93">
        <f t="shared" si="35"/>
        <v>1.0144898708076197E-5</v>
      </c>
      <c r="BD57" s="93">
        <f>nSD*NseMeas!X57*AP57</f>
        <v>0.45096991767149286</v>
      </c>
      <c r="BE57" s="93">
        <f t="shared" si="36"/>
        <v>2.6878157133072068E-3</v>
      </c>
      <c r="BF57" s="93">
        <f>nSD*NseMeas!X57*AR57</f>
        <v>1.340040969224663E-3</v>
      </c>
      <c r="BG57" s="93">
        <f t="shared" si="37"/>
        <v>7.9892128201410378E-6</v>
      </c>
      <c r="BH57" s="91">
        <f t="shared" si="38"/>
        <v>4.9264185675817682E-3</v>
      </c>
      <c r="BI57" s="93">
        <f t="shared" si="39"/>
        <v>2.9370825516253739E-5</v>
      </c>
    </row>
    <row r="58" spans="1:61">
      <c r="A58" s="91">
        <f t="shared" si="64"/>
        <v>26.500001000000001</v>
      </c>
      <c r="B58" s="92">
        <f>T_0*(1+10^('User Cal. Noise Std'!AA59/10))</f>
        <v>4886.1902581372296</v>
      </c>
      <c r="C58" s="92">
        <f t="shared" si="40"/>
        <v>296</v>
      </c>
      <c r="D58" s="93">
        <f t="shared" si="41"/>
        <v>296</v>
      </c>
      <c r="E58" s="92">
        <f>IF(UsePreamp,T_0*(10^(Preamp!AE59/10)-1),0)</f>
        <v>627.06052144883006</v>
      </c>
      <c r="F58" s="92">
        <f>T_0*(10^((FieldFox!B58-kT0dB)/10)-1)</f>
        <v>45411.676407373438</v>
      </c>
      <c r="G58" s="93">
        <f>IF(UsePreamp,10^(Preamp!AD59/10),1)</f>
        <v>199.06734581632566</v>
      </c>
      <c r="H58" s="94">
        <f t="shared" si="42"/>
        <v>5.6331571950785328E-8</v>
      </c>
      <c r="I58" s="94">
        <f t="shared" si="43"/>
        <v>1.1294847333807005E-8</v>
      </c>
      <c r="J58" s="94">
        <f t="shared" si="44"/>
        <v>2.2528134443143055E-9</v>
      </c>
      <c r="K58" s="95">
        <f t="shared" si="45"/>
        <v>627.06052144882983</v>
      </c>
      <c r="L58" s="93">
        <f t="shared" si="46"/>
        <v>199.06734581632574</v>
      </c>
      <c r="M58" s="94">
        <f t="shared" si="47"/>
        <v>6.1524142648784919E-9</v>
      </c>
      <c r="N58" s="94">
        <f t="shared" si="48"/>
        <v>6.1524142648784927E-9</v>
      </c>
      <c r="O58" s="94">
        <f t="shared" si="49"/>
        <v>4.7940933317912516E-8</v>
      </c>
      <c r="P58" s="91">
        <f t="shared" si="50"/>
        <v>1.0644853444746147</v>
      </c>
      <c r="Q58" s="94">
        <f t="shared" si="51"/>
        <v>6.4485344474614736E-2</v>
      </c>
      <c r="R58" s="94">
        <f t="shared" si="52"/>
        <v>6.3269898143890479E-13</v>
      </c>
      <c r="S58" s="91">
        <v>-1</v>
      </c>
      <c r="T58" s="93">
        <f>FieldFox!AD58</f>
        <v>5.5</v>
      </c>
      <c r="U58" s="93">
        <f>FieldFox!AC58</f>
        <v>3.3947007644769931</v>
      </c>
      <c r="V58" s="93">
        <f>FieldFox!AE58</f>
        <v>2.1052992355230069</v>
      </c>
      <c r="W58" s="94">
        <f t="shared" si="53"/>
        <v>1.8054045564434553E-4</v>
      </c>
      <c r="X58" s="94">
        <f t="shared" si="54"/>
        <v>2.2980270150499131E-4</v>
      </c>
      <c r="Y58" s="94">
        <f t="shared" si="55"/>
        <v>2.9180918829824546E-4</v>
      </c>
      <c r="Z58" s="91">
        <f>IF(UsePreamp,Preamp!AF59,FieldFox!D58)</f>
        <v>0.3981071705534972</v>
      </c>
      <c r="AA58" s="91">
        <f t="shared" si="56"/>
        <v>0.40853898265363492</v>
      </c>
      <c r="AB58" s="91">
        <f>'User Cal. Noise Std'!AC59</f>
        <v>0.22</v>
      </c>
      <c r="AC58" s="91">
        <f>'User Cal. Noise Std'!AD59</f>
        <v>0.12</v>
      </c>
      <c r="AD58" s="91">
        <f>IF(UsePreamp,Preamp!AH59,0)</f>
        <v>0</v>
      </c>
      <c r="AE58" s="91">
        <f>DUT!AG59</f>
        <v>0.31622776601683794</v>
      </c>
      <c r="AF58" s="94">
        <f t="shared" si="57"/>
        <v>3.4307783771473645E-9</v>
      </c>
      <c r="AG58" s="94">
        <f t="shared" si="58"/>
        <v>0</v>
      </c>
      <c r="AH58" s="91">
        <f t="shared" si="25"/>
        <v>3.4307783771473645E-9</v>
      </c>
      <c r="AI58" s="94">
        <f t="shared" si="59"/>
        <v>0</v>
      </c>
      <c r="AJ58" s="94">
        <f t="shared" si="60"/>
        <v>0</v>
      </c>
      <c r="AK58" s="91">
        <f t="shared" si="26"/>
        <v>0</v>
      </c>
      <c r="AL58" s="94">
        <f t="shared" si="61"/>
        <v>2.1706739078933333E-12</v>
      </c>
      <c r="AM58" s="94">
        <f t="shared" si="27"/>
        <v>0</v>
      </c>
      <c r="AN58" s="91">
        <f t="shared" si="28"/>
        <v>2.1706739078933333E-12</v>
      </c>
      <c r="AO58" s="94">
        <f t="shared" si="62"/>
        <v>8.3477229028665889E-13</v>
      </c>
      <c r="AP58" s="94">
        <f t="shared" si="29"/>
        <v>2.2123492546640751E-10</v>
      </c>
      <c r="AQ58" s="94">
        <f t="shared" si="30"/>
        <v>2.212365003585609E-10</v>
      </c>
      <c r="AR58" s="94">
        <f t="shared" si="63"/>
        <v>6.5739166257273206E-13</v>
      </c>
      <c r="AS58" s="94">
        <f>B58*(10^('User Cal. Noise Std'!AB59/(ENRconf*10))-1)*R58</f>
        <v>3.5797739252760619E-11</v>
      </c>
      <c r="AT58" s="91">
        <f t="shared" si="31"/>
        <v>2.2412543634207295E-10</v>
      </c>
      <c r="AU58" s="93">
        <f>NseMeas!H58</f>
        <v>438.4470651377784</v>
      </c>
      <c r="AV58" s="93">
        <f>nSD*NseMeas!X58*AT58</f>
        <v>0.45686199573683128</v>
      </c>
      <c r="AW58" s="93">
        <f t="shared" si="32"/>
        <v>2.7229219493682755E-3</v>
      </c>
      <c r="AX58" s="93">
        <f>nSD*NseMeas!X58*AL58</f>
        <v>4.4247472747378329E-3</v>
      </c>
      <c r="AY58" s="93">
        <f t="shared" si="33"/>
        <v>2.6379919433336028E-5</v>
      </c>
      <c r="AZ58" s="93">
        <f>nSD*NseMeas!X58*AM58</f>
        <v>0</v>
      </c>
      <c r="BA58" s="93">
        <f t="shared" si="34"/>
        <v>0</v>
      </c>
      <c r="BB58" s="93">
        <f>nSD*NseMeas!X58*AO58</f>
        <v>1.7016173654831894E-3</v>
      </c>
      <c r="BC58" s="93">
        <f t="shared" si="35"/>
        <v>1.0144898708076197E-5</v>
      </c>
      <c r="BD58" s="93">
        <f>nSD*NseMeas!X58*AP58</f>
        <v>0.45096991767149286</v>
      </c>
      <c r="BE58" s="93">
        <f t="shared" si="36"/>
        <v>2.6878157133072068E-3</v>
      </c>
      <c r="BF58" s="93">
        <f>nSD*NseMeas!X58*AR58</f>
        <v>1.340040969224663E-3</v>
      </c>
      <c r="BG58" s="93">
        <f t="shared" si="37"/>
        <v>7.9892128201410378E-6</v>
      </c>
      <c r="BH58" s="91">
        <f t="shared" si="38"/>
        <v>4.9264185675817682E-3</v>
      </c>
      <c r="BI58" s="93">
        <f t="shared" si="39"/>
        <v>2.9370825516253739E-5</v>
      </c>
    </row>
    <row r="59" spans="1:61">
      <c r="A59" s="91">
        <f t="shared" si="64"/>
        <v>26.500001000000001</v>
      </c>
      <c r="B59" s="92">
        <f>T_0*(1+10^('User Cal. Noise Std'!AA60/10))</f>
        <v>4886.1902581372296</v>
      </c>
      <c r="C59" s="92">
        <f t="shared" si="40"/>
        <v>296</v>
      </c>
      <c r="D59" s="93">
        <f t="shared" si="41"/>
        <v>296</v>
      </c>
      <c r="E59" s="92">
        <f>IF(UsePreamp,T_0*(10^(Preamp!AE60/10)-1),0)</f>
        <v>627.06052144883006</v>
      </c>
      <c r="F59" s="92">
        <f>T_0*(10^((FieldFox!B59-kT0dB)/10)-1)</f>
        <v>45411.676407373438</v>
      </c>
      <c r="G59" s="93">
        <f>IF(UsePreamp,10^(Preamp!AD60/10),1)</f>
        <v>199.06734581632566</v>
      </c>
      <c r="H59" s="94">
        <f t="shared" si="42"/>
        <v>5.6331571950785328E-8</v>
      </c>
      <c r="I59" s="94">
        <f t="shared" si="43"/>
        <v>1.1294847333807005E-8</v>
      </c>
      <c r="J59" s="94">
        <f t="shared" si="44"/>
        <v>2.2528134443143055E-9</v>
      </c>
      <c r="K59" s="95">
        <f t="shared" si="45"/>
        <v>627.06052144882983</v>
      </c>
      <c r="L59" s="93">
        <f t="shared" si="46"/>
        <v>199.06734581632574</v>
      </c>
      <c r="M59" s="94">
        <f t="shared" si="47"/>
        <v>6.1524142648784919E-9</v>
      </c>
      <c r="N59" s="94">
        <f t="shared" si="48"/>
        <v>6.1524142648784927E-9</v>
      </c>
      <c r="O59" s="94">
        <f t="shared" si="49"/>
        <v>4.7940933317912516E-8</v>
      </c>
      <c r="P59" s="91">
        <f t="shared" si="50"/>
        <v>1.0644853444746147</v>
      </c>
      <c r="Q59" s="94">
        <f t="shared" si="51"/>
        <v>6.4485344474614736E-2</v>
      </c>
      <c r="R59" s="94">
        <f t="shared" si="52"/>
        <v>6.3269898143890479E-13</v>
      </c>
      <c r="S59" s="91">
        <v>-1</v>
      </c>
      <c r="T59" s="93">
        <f>FieldFox!AD59</f>
        <v>5.5</v>
      </c>
      <c r="U59" s="93">
        <f>FieldFox!AC59</f>
        <v>3.3947007644769931</v>
      </c>
      <c r="V59" s="93">
        <f>FieldFox!AE59</f>
        <v>2.1052992355230069</v>
      </c>
      <c r="W59" s="94">
        <f t="shared" si="53"/>
        <v>1.8054045564434553E-4</v>
      </c>
      <c r="X59" s="94">
        <f t="shared" si="54"/>
        <v>2.2980270150499131E-4</v>
      </c>
      <c r="Y59" s="94">
        <f t="shared" si="55"/>
        <v>2.9180918829824546E-4</v>
      </c>
      <c r="Z59" s="91">
        <f>IF(UsePreamp,Preamp!AF60,FieldFox!D59)</f>
        <v>0.3981071705534972</v>
      </c>
      <c r="AA59" s="91">
        <f t="shared" si="56"/>
        <v>0.40853898265363492</v>
      </c>
      <c r="AB59" s="91">
        <f>'User Cal. Noise Std'!AC60</f>
        <v>0.22</v>
      </c>
      <c r="AC59" s="91">
        <f>'User Cal. Noise Std'!AD60</f>
        <v>0.12</v>
      </c>
      <c r="AD59" s="91">
        <f>IF(UsePreamp,Preamp!AH60,0)</f>
        <v>0</v>
      </c>
      <c r="AE59" s="91">
        <f>DUT!AG60</f>
        <v>0.31622776601683794</v>
      </c>
      <c r="AF59" s="94">
        <f t="shared" si="57"/>
        <v>3.4307783771473645E-9</v>
      </c>
      <c r="AG59" s="94">
        <f t="shared" si="58"/>
        <v>0</v>
      </c>
      <c r="AH59" s="91">
        <f t="shared" si="25"/>
        <v>3.4307783771473645E-9</v>
      </c>
      <c r="AI59" s="94">
        <f t="shared" si="59"/>
        <v>0</v>
      </c>
      <c r="AJ59" s="94">
        <f t="shared" si="60"/>
        <v>0</v>
      </c>
      <c r="AK59" s="91">
        <f t="shared" si="26"/>
        <v>0</v>
      </c>
      <c r="AL59" s="94">
        <f t="shared" si="61"/>
        <v>2.1706739078933333E-12</v>
      </c>
      <c r="AM59" s="94">
        <f t="shared" si="27"/>
        <v>0</v>
      </c>
      <c r="AN59" s="91">
        <f t="shared" si="28"/>
        <v>2.1706739078933333E-12</v>
      </c>
      <c r="AO59" s="94">
        <f t="shared" si="62"/>
        <v>8.3477229028665889E-13</v>
      </c>
      <c r="AP59" s="94">
        <f t="shared" si="29"/>
        <v>2.2123492546640751E-10</v>
      </c>
      <c r="AQ59" s="94">
        <f t="shared" si="30"/>
        <v>2.212365003585609E-10</v>
      </c>
      <c r="AR59" s="94">
        <f t="shared" si="63"/>
        <v>6.5739166257273206E-13</v>
      </c>
      <c r="AS59" s="94">
        <f>B59*(10^('User Cal. Noise Std'!AB60/(ENRconf*10))-1)*R59</f>
        <v>3.5797739252760619E-11</v>
      </c>
      <c r="AT59" s="91">
        <f t="shared" si="31"/>
        <v>2.2412543634207295E-10</v>
      </c>
      <c r="AU59" s="93">
        <f>NseMeas!H59</f>
        <v>438.4470651377784</v>
      </c>
      <c r="AV59" s="93">
        <f>nSD*NseMeas!X59*AT59</f>
        <v>0.45686199573683128</v>
      </c>
      <c r="AW59" s="93">
        <f t="shared" si="32"/>
        <v>2.7229219493682755E-3</v>
      </c>
      <c r="AX59" s="93">
        <f>nSD*NseMeas!X59*AL59</f>
        <v>4.4247472747378329E-3</v>
      </c>
      <c r="AY59" s="93">
        <f t="shared" si="33"/>
        <v>2.6379919433336028E-5</v>
      </c>
      <c r="AZ59" s="93">
        <f>nSD*NseMeas!X59*AM59</f>
        <v>0</v>
      </c>
      <c r="BA59" s="93">
        <f t="shared" si="34"/>
        <v>0</v>
      </c>
      <c r="BB59" s="93">
        <f>nSD*NseMeas!X59*AO59</f>
        <v>1.7016173654831894E-3</v>
      </c>
      <c r="BC59" s="93">
        <f t="shared" si="35"/>
        <v>1.0144898708076197E-5</v>
      </c>
      <c r="BD59" s="93">
        <f>nSD*NseMeas!X59*AP59</f>
        <v>0.45096991767149286</v>
      </c>
      <c r="BE59" s="93">
        <f t="shared" si="36"/>
        <v>2.6878157133072068E-3</v>
      </c>
      <c r="BF59" s="93">
        <f>nSD*NseMeas!X59*AR59</f>
        <v>1.340040969224663E-3</v>
      </c>
      <c r="BG59" s="93">
        <f t="shared" si="37"/>
        <v>7.9892128201410378E-6</v>
      </c>
      <c r="BH59" s="91">
        <f t="shared" si="38"/>
        <v>4.9264185675817682E-3</v>
      </c>
      <c r="BI59" s="93">
        <f t="shared" si="39"/>
        <v>2.9370825516253739E-5</v>
      </c>
    </row>
    <row r="60" spans="1:61">
      <c r="A60" s="91">
        <f t="shared" si="64"/>
        <v>26.500001000000001</v>
      </c>
      <c r="B60" s="92">
        <f>T_0*(1+10^('User Cal. Noise Std'!AA61/10))</f>
        <v>4886.1902581372296</v>
      </c>
      <c r="C60" s="92">
        <f t="shared" si="40"/>
        <v>296</v>
      </c>
      <c r="D60" s="93">
        <f t="shared" si="41"/>
        <v>296</v>
      </c>
      <c r="E60" s="92">
        <f>IF(UsePreamp,T_0*(10^(Preamp!AE61/10)-1),0)</f>
        <v>627.06052144883006</v>
      </c>
      <c r="F60" s="92">
        <f>T_0*(10^((FieldFox!B60-kT0dB)/10)-1)</f>
        <v>45411.676407373438</v>
      </c>
      <c r="G60" s="93">
        <f>IF(UsePreamp,10^(Preamp!AD61/10),1)</f>
        <v>199.06734581632566</v>
      </c>
      <c r="H60" s="94">
        <f t="shared" si="42"/>
        <v>5.6331571950785328E-8</v>
      </c>
      <c r="I60" s="94">
        <f t="shared" si="43"/>
        <v>1.1294847333807005E-8</v>
      </c>
      <c r="J60" s="94">
        <f t="shared" si="44"/>
        <v>2.2528134443143055E-9</v>
      </c>
      <c r="K60" s="95">
        <f t="shared" si="45"/>
        <v>627.06052144882983</v>
      </c>
      <c r="L60" s="93">
        <f t="shared" si="46"/>
        <v>199.06734581632574</v>
      </c>
      <c r="M60" s="94">
        <f t="shared" si="47"/>
        <v>6.1524142648784919E-9</v>
      </c>
      <c r="N60" s="94">
        <f t="shared" si="48"/>
        <v>6.1524142648784927E-9</v>
      </c>
      <c r="O60" s="94">
        <f t="shared" si="49"/>
        <v>4.7940933317912516E-8</v>
      </c>
      <c r="P60" s="91">
        <f t="shared" si="50"/>
        <v>1.0644853444746147</v>
      </c>
      <c r="Q60" s="94">
        <f t="shared" si="51"/>
        <v>6.4485344474614736E-2</v>
      </c>
      <c r="R60" s="94">
        <f t="shared" si="52"/>
        <v>6.3269898143890479E-13</v>
      </c>
      <c r="S60" s="91">
        <v>-1</v>
      </c>
      <c r="T60" s="93">
        <f>FieldFox!AD60</f>
        <v>5.5</v>
      </c>
      <c r="U60" s="93">
        <f>FieldFox!AC60</f>
        <v>3.3947007644769931</v>
      </c>
      <c r="V60" s="93">
        <f>FieldFox!AE60</f>
        <v>2.1052992355230069</v>
      </c>
      <c r="W60" s="94">
        <f t="shared" si="53"/>
        <v>1.8054045564434553E-4</v>
      </c>
      <c r="X60" s="94">
        <f t="shared" si="54"/>
        <v>2.2980270150499131E-4</v>
      </c>
      <c r="Y60" s="94">
        <f t="shared" si="55"/>
        <v>2.9180918829824546E-4</v>
      </c>
      <c r="Z60" s="91">
        <f>IF(UsePreamp,Preamp!AF61,FieldFox!D60)</f>
        <v>0.3981071705534972</v>
      </c>
      <c r="AA60" s="91">
        <f t="shared" si="56"/>
        <v>0.40853898265363492</v>
      </c>
      <c r="AB60" s="91">
        <f>'User Cal. Noise Std'!AC61</f>
        <v>0.22</v>
      </c>
      <c r="AC60" s="91">
        <f>'User Cal. Noise Std'!AD61</f>
        <v>0.12</v>
      </c>
      <c r="AD60" s="91">
        <f>IF(UsePreamp,Preamp!AH61,0)</f>
        <v>0</v>
      </c>
      <c r="AE60" s="91">
        <f>DUT!AG61</f>
        <v>0.31622776601683794</v>
      </c>
      <c r="AF60" s="94">
        <f t="shared" si="57"/>
        <v>3.4307783771473645E-9</v>
      </c>
      <c r="AG60" s="94">
        <f t="shared" si="58"/>
        <v>0</v>
      </c>
      <c r="AH60" s="91">
        <f t="shared" si="25"/>
        <v>3.4307783771473645E-9</v>
      </c>
      <c r="AI60" s="94">
        <f t="shared" si="59"/>
        <v>0</v>
      </c>
      <c r="AJ60" s="94">
        <f t="shared" si="60"/>
        <v>0</v>
      </c>
      <c r="AK60" s="91">
        <f t="shared" si="26"/>
        <v>0</v>
      </c>
      <c r="AL60" s="94">
        <f t="shared" si="61"/>
        <v>2.1706739078933333E-12</v>
      </c>
      <c r="AM60" s="94">
        <f t="shared" si="27"/>
        <v>0</v>
      </c>
      <c r="AN60" s="91">
        <f t="shared" si="28"/>
        <v>2.1706739078933333E-12</v>
      </c>
      <c r="AO60" s="94">
        <f t="shared" si="62"/>
        <v>8.3477229028665889E-13</v>
      </c>
      <c r="AP60" s="94">
        <f t="shared" si="29"/>
        <v>2.2123492546640751E-10</v>
      </c>
      <c r="AQ60" s="94">
        <f t="shared" si="30"/>
        <v>2.212365003585609E-10</v>
      </c>
      <c r="AR60" s="94">
        <f t="shared" si="63"/>
        <v>6.5739166257273206E-13</v>
      </c>
      <c r="AS60" s="94">
        <f>B60*(10^('User Cal. Noise Std'!AB61/(ENRconf*10))-1)*R60</f>
        <v>3.5797739252760619E-11</v>
      </c>
      <c r="AT60" s="91">
        <f t="shared" si="31"/>
        <v>2.2412543634207295E-10</v>
      </c>
      <c r="AU60" s="93">
        <f>NseMeas!H60</f>
        <v>438.4470651377784</v>
      </c>
      <c r="AV60" s="93">
        <f>nSD*NseMeas!X60*AT60</f>
        <v>0.45686199573683128</v>
      </c>
      <c r="AW60" s="93">
        <f t="shared" si="32"/>
        <v>2.7229219493682755E-3</v>
      </c>
      <c r="AX60" s="93">
        <f>nSD*NseMeas!X60*AL60</f>
        <v>4.4247472747378329E-3</v>
      </c>
      <c r="AY60" s="93">
        <f t="shared" si="33"/>
        <v>2.6379919433336028E-5</v>
      </c>
      <c r="AZ60" s="93">
        <f>nSD*NseMeas!X60*AM60</f>
        <v>0</v>
      </c>
      <c r="BA60" s="93">
        <f t="shared" si="34"/>
        <v>0</v>
      </c>
      <c r="BB60" s="93">
        <f>nSD*NseMeas!X60*AO60</f>
        <v>1.7016173654831894E-3</v>
      </c>
      <c r="BC60" s="93">
        <f t="shared" si="35"/>
        <v>1.0144898708076197E-5</v>
      </c>
      <c r="BD60" s="93">
        <f>nSD*NseMeas!X60*AP60</f>
        <v>0.45096991767149286</v>
      </c>
      <c r="BE60" s="93">
        <f t="shared" si="36"/>
        <v>2.6878157133072068E-3</v>
      </c>
      <c r="BF60" s="93">
        <f>nSD*NseMeas!X60*AR60</f>
        <v>1.340040969224663E-3</v>
      </c>
      <c r="BG60" s="93">
        <f t="shared" si="37"/>
        <v>7.9892128201410378E-6</v>
      </c>
      <c r="BH60" s="91">
        <f t="shared" si="38"/>
        <v>4.9264185675817682E-3</v>
      </c>
      <c r="BI60" s="93">
        <f t="shared" si="39"/>
        <v>2.9370825516253739E-5</v>
      </c>
    </row>
    <row r="61" spans="1:61">
      <c r="A61" s="91">
        <f t="shared" si="64"/>
        <v>26.500001000000001</v>
      </c>
      <c r="B61" s="92">
        <f>T_0*(1+10^('User Cal. Noise Std'!AA62/10))</f>
        <v>4886.1902581372296</v>
      </c>
      <c r="C61" s="92">
        <f t="shared" si="40"/>
        <v>296</v>
      </c>
      <c r="D61" s="93">
        <f t="shared" si="41"/>
        <v>296</v>
      </c>
      <c r="E61" s="92">
        <f>IF(UsePreamp,T_0*(10^(Preamp!AE62/10)-1),0)</f>
        <v>627.06052144883006</v>
      </c>
      <c r="F61" s="92">
        <f>T_0*(10^((FieldFox!B61-kT0dB)/10)-1)</f>
        <v>45411.676407373438</v>
      </c>
      <c r="G61" s="93">
        <f>IF(UsePreamp,10^(Preamp!AD62/10),1)</f>
        <v>199.06734581632566</v>
      </c>
      <c r="H61" s="94">
        <f t="shared" si="42"/>
        <v>5.6331571950785328E-8</v>
      </c>
      <c r="I61" s="94">
        <f t="shared" si="43"/>
        <v>1.1294847333807005E-8</v>
      </c>
      <c r="J61" s="94">
        <f t="shared" si="44"/>
        <v>2.2528134443143055E-9</v>
      </c>
      <c r="K61" s="95">
        <f t="shared" si="45"/>
        <v>627.06052144882983</v>
      </c>
      <c r="L61" s="93">
        <f t="shared" si="46"/>
        <v>199.06734581632574</v>
      </c>
      <c r="M61" s="94">
        <f t="shared" si="47"/>
        <v>6.1524142648784919E-9</v>
      </c>
      <c r="N61" s="94">
        <f t="shared" si="48"/>
        <v>6.1524142648784927E-9</v>
      </c>
      <c r="O61" s="94">
        <f t="shared" si="49"/>
        <v>4.7940933317912516E-8</v>
      </c>
      <c r="P61" s="91">
        <f t="shared" si="50"/>
        <v>1.0644853444746147</v>
      </c>
      <c r="Q61" s="94">
        <f t="shared" si="51"/>
        <v>6.4485344474614736E-2</v>
      </c>
      <c r="R61" s="94">
        <f t="shared" si="52"/>
        <v>6.3269898143890479E-13</v>
      </c>
      <c r="S61" s="91">
        <v>-1</v>
      </c>
      <c r="T61" s="93">
        <f>FieldFox!AD61</f>
        <v>5.5</v>
      </c>
      <c r="U61" s="93">
        <f>FieldFox!AC61</f>
        <v>3.3947007644769931</v>
      </c>
      <c r="V61" s="93">
        <f>FieldFox!AE61</f>
        <v>2.1052992355230069</v>
      </c>
      <c r="W61" s="94">
        <f t="shared" si="53"/>
        <v>1.8054045564434553E-4</v>
      </c>
      <c r="X61" s="94">
        <f t="shared" si="54"/>
        <v>2.2980270150499131E-4</v>
      </c>
      <c r="Y61" s="94">
        <f t="shared" si="55"/>
        <v>2.9180918829824546E-4</v>
      </c>
      <c r="Z61" s="91">
        <f>IF(UsePreamp,Preamp!AF62,FieldFox!D61)</f>
        <v>0.3981071705534972</v>
      </c>
      <c r="AA61" s="91">
        <f t="shared" si="56"/>
        <v>0.40853898265363492</v>
      </c>
      <c r="AB61" s="91">
        <f>'User Cal. Noise Std'!AC62</f>
        <v>0.22</v>
      </c>
      <c r="AC61" s="91">
        <f>'User Cal. Noise Std'!AD62</f>
        <v>0.12</v>
      </c>
      <c r="AD61" s="91">
        <f>IF(UsePreamp,Preamp!AH62,0)</f>
        <v>0</v>
      </c>
      <c r="AE61" s="91">
        <f>DUT!AG62</f>
        <v>0.31622776601683794</v>
      </c>
      <c r="AF61" s="94">
        <f t="shared" si="57"/>
        <v>3.4307783771473645E-9</v>
      </c>
      <c r="AG61" s="94">
        <f t="shared" si="58"/>
        <v>0</v>
      </c>
      <c r="AH61" s="91">
        <f t="shared" si="25"/>
        <v>3.4307783771473645E-9</v>
      </c>
      <c r="AI61" s="94">
        <f t="shared" si="59"/>
        <v>0</v>
      </c>
      <c r="AJ61" s="94">
        <f t="shared" si="60"/>
        <v>0</v>
      </c>
      <c r="AK61" s="91">
        <f t="shared" si="26"/>
        <v>0</v>
      </c>
      <c r="AL61" s="94">
        <f t="shared" si="61"/>
        <v>2.1706739078933333E-12</v>
      </c>
      <c r="AM61" s="94">
        <f t="shared" si="27"/>
        <v>0</v>
      </c>
      <c r="AN61" s="91">
        <f t="shared" si="28"/>
        <v>2.1706739078933333E-12</v>
      </c>
      <c r="AO61" s="94">
        <f t="shared" si="62"/>
        <v>8.3477229028665889E-13</v>
      </c>
      <c r="AP61" s="94">
        <f t="shared" si="29"/>
        <v>2.2123492546640751E-10</v>
      </c>
      <c r="AQ61" s="94">
        <f t="shared" si="30"/>
        <v>2.212365003585609E-10</v>
      </c>
      <c r="AR61" s="94">
        <f t="shared" si="63"/>
        <v>6.5739166257273206E-13</v>
      </c>
      <c r="AS61" s="94">
        <f>B61*(10^('User Cal. Noise Std'!AB62/(ENRconf*10))-1)*R61</f>
        <v>3.5797739252760619E-11</v>
      </c>
      <c r="AT61" s="91">
        <f t="shared" si="31"/>
        <v>2.2412543634207295E-10</v>
      </c>
      <c r="AU61" s="93">
        <f>NseMeas!H61</f>
        <v>438.4470651377784</v>
      </c>
      <c r="AV61" s="93">
        <f>nSD*NseMeas!X61*AT61</f>
        <v>0.45686199573683128</v>
      </c>
      <c r="AW61" s="93">
        <f t="shared" si="32"/>
        <v>2.7229219493682755E-3</v>
      </c>
      <c r="AX61" s="93">
        <f>nSD*NseMeas!X61*AL61</f>
        <v>4.4247472747378329E-3</v>
      </c>
      <c r="AY61" s="93">
        <f t="shared" si="33"/>
        <v>2.6379919433336028E-5</v>
      </c>
      <c r="AZ61" s="93">
        <f>nSD*NseMeas!X61*AM61</f>
        <v>0</v>
      </c>
      <c r="BA61" s="93">
        <f t="shared" si="34"/>
        <v>0</v>
      </c>
      <c r="BB61" s="93">
        <f>nSD*NseMeas!X61*AO61</f>
        <v>1.7016173654831894E-3</v>
      </c>
      <c r="BC61" s="93">
        <f t="shared" si="35"/>
        <v>1.0144898708076197E-5</v>
      </c>
      <c r="BD61" s="93">
        <f>nSD*NseMeas!X61*AP61</f>
        <v>0.45096991767149286</v>
      </c>
      <c r="BE61" s="93">
        <f t="shared" si="36"/>
        <v>2.6878157133072068E-3</v>
      </c>
      <c r="BF61" s="93">
        <f>nSD*NseMeas!X61*AR61</f>
        <v>1.340040969224663E-3</v>
      </c>
      <c r="BG61" s="93">
        <f t="shared" si="37"/>
        <v>7.9892128201410378E-6</v>
      </c>
      <c r="BH61" s="91">
        <f t="shared" si="38"/>
        <v>4.9264185675817682E-3</v>
      </c>
      <c r="BI61" s="93">
        <f t="shared" si="39"/>
        <v>2.9370825516253739E-5</v>
      </c>
    </row>
    <row r="62" spans="1:61">
      <c r="A62" s="91">
        <f t="shared" si="64"/>
        <v>26.500001000000001</v>
      </c>
      <c r="B62" s="92">
        <f>T_0*(1+10^('User Cal. Noise Std'!AA63/10))</f>
        <v>4886.1902581372296</v>
      </c>
      <c r="C62" s="92">
        <f t="shared" si="40"/>
        <v>296</v>
      </c>
      <c r="D62" s="93">
        <f t="shared" si="41"/>
        <v>296</v>
      </c>
      <c r="E62" s="92">
        <f>IF(UsePreamp,T_0*(10^(Preamp!AE63/10)-1),0)</f>
        <v>627.06052144883006</v>
      </c>
      <c r="F62" s="92">
        <f>T_0*(10^((FieldFox!B62-kT0dB)/10)-1)</f>
        <v>45411.676407373438</v>
      </c>
      <c r="G62" s="93">
        <f>IF(UsePreamp,10^(Preamp!AD63/10),1)</f>
        <v>199.06734581632566</v>
      </c>
      <c r="H62" s="94">
        <f t="shared" si="42"/>
        <v>5.6331571950785328E-8</v>
      </c>
      <c r="I62" s="94">
        <f t="shared" si="43"/>
        <v>1.1294847333807005E-8</v>
      </c>
      <c r="J62" s="94">
        <f t="shared" si="44"/>
        <v>2.2528134443143055E-9</v>
      </c>
      <c r="K62" s="95">
        <f t="shared" si="45"/>
        <v>627.06052144882983</v>
      </c>
      <c r="L62" s="93">
        <f t="shared" si="46"/>
        <v>199.06734581632574</v>
      </c>
      <c r="M62" s="94">
        <f t="shared" si="47"/>
        <v>6.1524142648784919E-9</v>
      </c>
      <c r="N62" s="94">
        <f t="shared" si="48"/>
        <v>6.1524142648784927E-9</v>
      </c>
      <c r="O62" s="94">
        <f t="shared" si="49"/>
        <v>4.7940933317912516E-8</v>
      </c>
      <c r="P62" s="91">
        <f t="shared" si="50"/>
        <v>1.0644853444746147</v>
      </c>
      <c r="Q62" s="94">
        <f t="shared" si="51"/>
        <v>6.4485344474614736E-2</v>
      </c>
      <c r="R62" s="94">
        <f t="shared" si="52"/>
        <v>6.3269898143890479E-13</v>
      </c>
      <c r="S62" s="91">
        <v>-1</v>
      </c>
      <c r="T62" s="93">
        <f>FieldFox!AD62</f>
        <v>5.5</v>
      </c>
      <c r="U62" s="93">
        <f>FieldFox!AC62</f>
        <v>3.3947007644769931</v>
      </c>
      <c r="V62" s="93">
        <f>FieldFox!AE62</f>
        <v>2.1052992355230069</v>
      </c>
      <c r="W62" s="94">
        <f t="shared" si="53"/>
        <v>1.8054045564434553E-4</v>
      </c>
      <c r="X62" s="94">
        <f t="shared" si="54"/>
        <v>2.2980270150499131E-4</v>
      </c>
      <c r="Y62" s="94">
        <f t="shared" si="55"/>
        <v>2.9180918829824546E-4</v>
      </c>
      <c r="Z62" s="91">
        <f>IF(UsePreamp,Preamp!AF63,FieldFox!D62)</f>
        <v>0.3981071705534972</v>
      </c>
      <c r="AA62" s="91">
        <f t="shared" si="56"/>
        <v>0.40853898265363492</v>
      </c>
      <c r="AB62" s="91">
        <f>'User Cal. Noise Std'!AC63</f>
        <v>0.22</v>
      </c>
      <c r="AC62" s="91">
        <f>'User Cal. Noise Std'!AD63</f>
        <v>0.12</v>
      </c>
      <c r="AD62" s="91">
        <f>IF(UsePreamp,Preamp!AH63,0)</f>
        <v>0</v>
      </c>
      <c r="AE62" s="91">
        <f>DUT!AG63</f>
        <v>0.31622776601683794</v>
      </c>
      <c r="AF62" s="94">
        <f t="shared" si="57"/>
        <v>3.4307783771473645E-9</v>
      </c>
      <c r="AG62" s="94">
        <f t="shared" si="58"/>
        <v>0</v>
      </c>
      <c r="AH62" s="91">
        <f t="shared" si="25"/>
        <v>3.4307783771473645E-9</v>
      </c>
      <c r="AI62" s="94">
        <f t="shared" si="59"/>
        <v>0</v>
      </c>
      <c r="AJ62" s="94">
        <f t="shared" si="60"/>
        <v>0</v>
      </c>
      <c r="AK62" s="91">
        <f t="shared" si="26"/>
        <v>0</v>
      </c>
      <c r="AL62" s="94">
        <f t="shared" si="61"/>
        <v>2.1706739078933333E-12</v>
      </c>
      <c r="AM62" s="94">
        <f t="shared" si="27"/>
        <v>0</v>
      </c>
      <c r="AN62" s="91">
        <f t="shared" si="28"/>
        <v>2.1706739078933333E-12</v>
      </c>
      <c r="AO62" s="94">
        <f t="shared" si="62"/>
        <v>8.3477229028665889E-13</v>
      </c>
      <c r="AP62" s="94">
        <f t="shared" si="29"/>
        <v>2.2123492546640751E-10</v>
      </c>
      <c r="AQ62" s="94">
        <f t="shared" si="30"/>
        <v>2.212365003585609E-10</v>
      </c>
      <c r="AR62" s="94">
        <f t="shared" si="63"/>
        <v>6.5739166257273206E-13</v>
      </c>
      <c r="AS62" s="94">
        <f>B62*(10^('User Cal. Noise Std'!AB63/(ENRconf*10))-1)*R62</f>
        <v>3.5797739252760619E-11</v>
      </c>
      <c r="AT62" s="91">
        <f t="shared" si="31"/>
        <v>2.2412543634207295E-10</v>
      </c>
      <c r="AU62" s="93">
        <f>NseMeas!H62</f>
        <v>438.4470651377784</v>
      </c>
      <c r="AV62" s="93">
        <f>nSD*NseMeas!X62*AT62</f>
        <v>0.45686199573683128</v>
      </c>
      <c r="AW62" s="93">
        <f t="shared" si="32"/>
        <v>2.7229219493682755E-3</v>
      </c>
      <c r="AX62" s="93">
        <f>nSD*NseMeas!X62*AL62</f>
        <v>4.4247472747378329E-3</v>
      </c>
      <c r="AY62" s="93">
        <f t="shared" si="33"/>
        <v>2.6379919433336028E-5</v>
      </c>
      <c r="AZ62" s="93">
        <f>nSD*NseMeas!X62*AM62</f>
        <v>0</v>
      </c>
      <c r="BA62" s="93">
        <f t="shared" si="34"/>
        <v>0</v>
      </c>
      <c r="BB62" s="93">
        <f>nSD*NseMeas!X62*AO62</f>
        <v>1.7016173654831894E-3</v>
      </c>
      <c r="BC62" s="93">
        <f t="shared" si="35"/>
        <v>1.0144898708076197E-5</v>
      </c>
      <c r="BD62" s="93">
        <f>nSD*NseMeas!X62*AP62</f>
        <v>0.45096991767149286</v>
      </c>
      <c r="BE62" s="93">
        <f t="shared" si="36"/>
        <v>2.6878157133072068E-3</v>
      </c>
      <c r="BF62" s="93">
        <f>nSD*NseMeas!X62*AR62</f>
        <v>1.340040969224663E-3</v>
      </c>
      <c r="BG62" s="93">
        <f t="shared" si="37"/>
        <v>7.9892128201410378E-6</v>
      </c>
      <c r="BH62" s="91">
        <f t="shared" si="38"/>
        <v>4.9264185675817682E-3</v>
      </c>
      <c r="BI62" s="93">
        <f t="shared" si="39"/>
        <v>2.9370825516253739E-5</v>
      </c>
    </row>
    <row r="63" spans="1:61">
      <c r="A63" s="91">
        <f t="shared" si="64"/>
        <v>26.500001000000001</v>
      </c>
      <c r="B63" s="92">
        <f>T_0*(1+10^('User Cal. Noise Std'!AA64/10))</f>
        <v>4886.1902581372296</v>
      </c>
      <c r="C63" s="92">
        <f t="shared" si="40"/>
        <v>296</v>
      </c>
      <c r="D63" s="93">
        <f t="shared" si="41"/>
        <v>296</v>
      </c>
      <c r="E63" s="92">
        <f>IF(UsePreamp,T_0*(10^(Preamp!AE64/10)-1),0)</f>
        <v>627.06052144883006</v>
      </c>
      <c r="F63" s="92">
        <f>T_0*(10^((FieldFox!B63-kT0dB)/10)-1)</f>
        <v>45411.676407373438</v>
      </c>
      <c r="G63" s="93">
        <f>IF(UsePreamp,10^(Preamp!AD64/10),1)</f>
        <v>199.06734581632566</v>
      </c>
      <c r="H63" s="94">
        <f t="shared" si="42"/>
        <v>5.6331571950785328E-8</v>
      </c>
      <c r="I63" s="94">
        <f t="shared" si="43"/>
        <v>1.1294847333807005E-8</v>
      </c>
      <c r="J63" s="94">
        <f t="shared" si="44"/>
        <v>2.2528134443143055E-9</v>
      </c>
      <c r="K63" s="95">
        <f t="shared" si="45"/>
        <v>627.06052144882983</v>
      </c>
      <c r="L63" s="93">
        <f t="shared" si="46"/>
        <v>199.06734581632574</v>
      </c>
      <c r="M63" s="94">
        <f t="shared" si="47"/>
        <v>6.1524142648784919E-9</v>
      </c>
      <c r="N63" s="94">
        <f t="shared" si="48"/>
        <v>6.1524142648784927E-9</v>
      </c>
      <c r="O63" s="94">
        <f t="shared" si="49"/>
        <v>4.7940933317912516E-8</v>
      </c>
      <c r="P63" s="91">
        <f t="shared" si="50"/>
        <v>1.0644853444746147</v>
      </c>
      <c r="Q63" s="94">
        <f t="shared" si="51"/>
        <v>6.4485344474614736E-2</v>
      </c>
      <c r="R63" s="94">
        <f t="shared" si="52"/>
        <v>6.3269898143890479E-13</v>
      </c>
      <c r="S63" s="91">
        <v>-1</v>
      </c>
      <c r="T63" s="93">
        <f>FieldFox!AD63</f>
        <v>5.5</v>
      </c>
      <c r="U63" s="93">
        <f>FieldFox!AC63</f>
        <v>3.3947007644769931</v>
      </c>
      <c r="V63" s="93">
        <f>FieldFox!AE63</f>
        <v>2.1052992355230069</v>
      </c>
      <c r="W63" s="94">
        <f t="shared" si="53"/>
        <v>1.8054045564434553E-4</v>
      </c>
      <c r="X63" s="94">
        <f t="shared" si="54"/>
        <v>2.2980270150499131E-4</v>
      </c>
      <c r="Y63" s="94">
        <f t="shared" si="55"/>
        <v>2.9180918829824546E-4</v>
      </c>
      <c r="Z63" s="91">
        <f>IF(UsePreamp,Preamp!AF64,FieldFox!D63)</f>
        <v>0.3981071705534972</v>
      </c>
      <c r="AA63" s="91">
        <f t="shared" si="56"/>
        <v>0.40853898265363492</v>
      </c>
      <c r="AB63" s="91">
        <f>'User Cal. Noise Std'!AC64</f>
        <v>0.22</v>
      </c>
      <c r="AC63" s="91">
        <f>'User Cal. Noise Std'!AD64</f>
        <v>0.12</v>
      </c>
      <c r="AD63" s="91">
        <f>IF(UsePreamp,Preamp!AH64,0)</f>
        <v>0</v>
      </c>
      <c r="AE63" s="91">
        <f>DUT!AG64</f>
        <v>0.31622776601683794</v>
      </c>
      <c r="AF63" s="94">
        <f t="shared" si="57"/>
        <v>3.4307783771473645E-9</v>
      </c>
      <c r="AG63" s="94">
        <f t="shared" si="58"/>
        <v>0</v>
      </c>
      <c r="AH63" s="91">
        <f t="shared" si="25"/>
        <v>3.4307783771473645E-9</v>
      </c>
      <c r="AI63" s="94">
        <f t="shared" si="59"/>
        <v>0</v>
      </c>
      <c r="AJ63" s="94">
        <f t="shared" si="60"/>
        <v>0</v>
      </c>
      <c r="AK63" s="91">
        <f t="shared" si="26"/>
        <v>0</v>
      </c>
      <c r="AL63" s="94">
        <f t="shared" si="61"/>
        <v>2.1706739078933333E-12</v>
      </c>
      <c r="AM63" s="94">
        <f t="shared" si="27"/>
        <v>0</v>
      </c>
      <c r="AN63" s="91">
        <f t="shared" si="28"/>
        <v>2.1706739078933333E-12</v>
      </c>
      <c r="AO63" s="94">
        <f t="shared" si="62"/>
        <v>8.3477229028665889E-13</v>
      </c>
      <c r="AP63" s="94">
        <f t="shared" si="29"/>
        <v>2.2123492546640751E-10</v>
      </c>
      <c r="AQ63" s="94">
        <f t="shared" si="30"/>
        <v>2.212365003585609E-10</v>
      </c>
      <c r="AR63" s="94">
        <f t="shared" si="63"/>
        <v>6.5739166257273206E-13</v>
      </c>
      <c r="AS63" s="94">
        <f>B63*(10^('User Cal. Noise Std'!AB64/(ENRconf*10))-1)*R63</f>
        <v>3.5797739252760619E-11</v>
      </c>
      <c r="AT63" s="91">
        <f t="shared" si="31"/>
        <v>2.2412543634207295E-10</v>
      </c>
      <c r="AU63" s="93">
        <f>NseMeas!H63</f>
        <v>438.4470651377784</v>
      </c>
      <c r="AV63" s="93">
        <f>nSD*NseMeas!X63*AT63</f>
        <v>0.45686199573683128</v>
      </c>
      <c r="AW63" s="93">
        <f t="shared" si="32"/>
        <v>2.7229219493682755E-3</v>
      </c>
      <c r="AX63" s="93">
        <f>nSD*NseMeas!X63*AL63</f>
        <v>4.4247472747378329E-3</v>
      </c>
      <c r="AY63" s="93">
        <f t="shared" si="33"/>
        <v>2.6379919433336028E-5</v>
      </c>
      <c r="AZ63" s="93">
        <f>nSD*NseMeas!X63*AM63</f>
        <v>0</v>
      </c>
      <c r="BA63" s="93">
        <f t="shared" si="34"/>
        <v>0</v>
      </c>
      <c r="BB63" s="93">
        <f>nSD*NseMeas!X63*AO63</f>
        <v>1.7016173654831894E-3</v>
      </c>
      <c r="BC63" s="93">
        <f t="shared" si="35"/>
        <v>1.0144898708076197E-5</v>
      </c>
      <c r="BD63" s="93">
        <f>nSD*NseMeas!X63*AP63</f>
        <v>0.45096991767149286</v>
      </c>
      <c r="BE63" s="93">
        <f t="shared" si="36"/>
        <v>2.6878157133072068E-3</v>
      </c>
      <c r="BF63" s="93">
        <f>nSD*NseMeas!X63*AR63</f>
        <v>1.340040969224663E-3</v>
      </c>
      <c r="BG63" s="93">
        <f t="shared" si="37"/>
        <v>7.9892128201410378E-6</v>
      </c>
      <c r="BH63" s="91">
        <f t="shared" si="38"/>
        <v>4.9264185675817682E-3</v>
      </c>
      <c r="BI63" s="93">
        <f t="shared" si="39"/>
        <v>2.9370825516253739E-5</v>
      </c>
    </row>
    <row r="64" spans="1:61">
      <c r="A64" s="91">
        <f t="shared" si="64"/>
        <v>26.500001000000001</v>
      </c>
      <c r="B64" s="92">
        <f>T_0*(1+10^('User Cal. Noise Std'!AA65/10))</f>
        <v>4886.1902581372296</v>
      </c>
      <c r="C64" s="92">
        <f t="shared" si="40"/>
        <v>296</v>
      </c>
      <c r="D64" s="93">
        <f t="shared" si="41"/>
        <v>296</v>
      </c>
      <c r="E64" s="92">
        <f>IF(UsePreamp,T_0*(10^(Preamp!AE65/10)-1),0)</f>
        <v>627.06052144883006</v>
      </c>
      <c r="F64" s="92">
        <f>T_0*(10^((FieldFox!B64-kT0dB)/10)-1)</f>
        <v>45411.676407373438</v>
      </c>
      <c r="G64" s="93">
        <f>IF(UsePreamp,10^(Preamp!AD65/10),1)</f>
        <v>199.06734581632566</v>
      </c>
      <c r="H64" s="94">
        <f t="shared" si="42"/>
        <v>5.6331571950785328E-8</v>
      </c>
      <c r="I64" s="94">
        <f t="shared" si="43"/>
        <v>1.1294847333807005E-8</v>
      </c>
      <c r="J64" s="94">
        <f t="shared" si="44"/>
        <v>2.2528134443143055E-9</v>
      </c>
      <c r="K64" s="95">
        <f t="shared" si="45"/>
        <v>627.06052144882983</v>
      </c>
      <c r="L64" s="93">
        <f t="shared" si="46"/>
        <v>199.06734581632574</v>
      </c>
      <c r="M64" s="94">
        <f t="shared" si="47"/>
        <v>6.1524142648784919E-9</v>
      </c>
      <c r="N64" s="94">
        <f t="shared" si="48"/>
        <v>6.1524142648784927E-9</v>
      </c>
      <c r="O64" s="94">
        <f t="shared" si="49"/>
        <v>4.7940933317912516E-8</v>
      </c>
      <c r="P64" s="91">
        <f t="shared" si="50"/>
        <v>1.0644853444746147</v>
      </c>
      <c r="Q64" s="94">
        <f t="shared" si="51"/>
        <v>6.4485344474614736E-2</v>
      </c>
      <c r="R64" s="94">
        <f t="shared" si="52"/>
        <v>6.3269898143890479E-13</v>
      </c>
      <c r="S64" s="91">
        <v>-1</v>
      </c>
      <c r="T64" s="93">
        <f>FieldFox!AD64</f>
        <v>5.5</v>
      </c>
      <c r="U64" s="93">
        <f>FieldFox!AC64</f>
        <v>3.3947007644769931</v>
      </c>
      <c r="V64" s="93">
        <f>FieldFox!AE64</f>
        <v>2.1052992355230069</v>
      </c>
      <c r="W64" s="94">
        <f t="shared" si="53"/>
        <v>1.8054045564434553E-4</v>
      </c>
      <c r="X64" s="94">
        <f t="shared" si="54"/>
        <v>2.2980270150499131E-4</v>
      </c>
      <c r="Y64" s="94">
        <f t="shared" si="55"/>
        <v>2.9180918829824546E-4</v>
      </c>
      <c r="Z64" s="91">
        <f>IF(UsePreamp,Preamp!AF65,FieldFox!D64)</f>
        <v>0.3981071705534972</v>
      </c>
      <c r="AA64" s="91">
        <f t="shared" si="56"/>
        <v>0.40853898265363492</v>
      </c>
      <c r="AB64" s="91">
        <f>'User Cal. Noise Std'!AC65</f>
        <v>0.22</v>
      </c>
      <c r="AC64" s="91">
        <f>'User Cal. Noise Std'!AD65</f>
        <v>0.12</v>
      </c>
      <c r="AD64" s="91">
        <f>IF(UsePreamp,Preamp!AH65,0)</f>
        <v>0</v>
      </c>
      <c r="AE64" s="91">
        <f>DUT!AG65</f>
        <v>0.31622776601683794</v>
      </c>
      <c r="AF64" s="94">
        <f t="shared" si="57"/>
        <v>3.4307783771473645E-9</v>
      </c>
      <c r="AG64" s="94">
        <f t="shared" si="58"/>
        <v>0</v>
      </c>
      <c r="AH64" s="91">
        <f t="shared" si="25"/>
        <v>3.4307783771473645E-9</v>
      </c>
      <c r="AI64" s="94">
        <f t="shared" si="59"/>
        <v>0</v>
      </c>
      <c r="AJ64" s="94">
        <f t="shared" si="60"/>
        <v>0</v>
      </c>
      <c r="AK64" s="91">
        <f t="shared" si="26"/>
        <v>0</v>
      </c>
      <c r="AL64" s="94">
        <f t="shared" si="61"/>
        <v>2.1706739078933333E-12</v>
      </c>
      <c r="AM64" s="94">
        <f t="shared" si="27"/>
        <v>0</v>
      </c>
      <c r="AN64" s="91">
        <f t="shared" si="28"/>
        <v>2.1706739078933333E-12</v>
      </c>
      <c r="AO64" s="94">
        <f t="shared" si="62"/>
        <v>8.3477229028665889E-13</v>
      </c>
      <c r="AP64" s="94">
        <f t="shared" si="29"/>
        <v>2.2123492546640751E-10</v>
      </c>
      <c r="AQ64" s="94">
        <f t="shared" si="30"/>
        <v>2.212365003585609E-10</v>
      </c>
      <c r="AR64" s="94">
        <f t="shared" si="63"/>
        <v>6.5739166257273206E-13</v>
      </c>
      <c r="AS64" s="94">
        <f>B64*(10^('User Cal. Noise Std'!AB65/(ENRconf*10))-1)*R64</f>
        <v>3.5797739252760619E-11</v>
      </c>
      <c r="AT64" s="91">
        <f t="shared" si="31"/>
        <v>2.2412543634207295E-10</v>
      </c>
      <c r="AU64" s="93">
        <f>NseMeas!H64</f>
        <v>438.4470651377784</v>
      </c>
      <c r="AV64" s="93">
        <f>nSD*NseMeas!X64*AT64</f>
        <v>0.45686199573683128</v>
      </c>
      <c r="AW64" s="93">
        <f t="shared" si="32"/>
        <v>2.7229219493682755E-3</v>
      </c>
      <c r="AX64" s="93">
        <f>nSD*NseMeas!X64*AL64</f>
        <v>4.4247472747378329E-3</v>
      </c>
      <c r="AY64" s="93">
        <f t="shared" si="33"/>
        <v>2.6379919433336028E-5</v>
      </c>
      <c r="AZ64" s="93">
        <f>nSD*NseMeas!X64*AM64</f>
        <v>0</v>
      </c>
      <c r="BA64" s="93">
        <f t="shared" si="34"/>
        <v>0</v>
      </c>
      <c r="BB64" s="93">
        <f>nSD*NseMeas!X64*AO64</f>
        <v>1.7016173654831894E-3</v>
      </c>
      <c r="BC64" s="93">
        <f t="shared" si="35"/>
        <v>1.0144898708076197E-5</v>
      </c>
      <c r="BD64" s="93">
        <f>nSD*NseMeas!X64*AP64</f>
        <v>0.45096991767149286</v>
      </c>
      <c r="BE64" s="93">
        <f t="shared" si="36"/>
        <v>2.6878157133072068E-3</v>
      </c>
      <c r="BF64" s="93">
        <f>nSD*NseMeas!X64*AR64</f>
        <v>1.340040969224663E-3</v>
      </c>
      <c r="BG64" s="93">
        <f t="shared" si="37"/>
        <v>7.9892128201410378E-6</v>
      </c>
      <c r="BH64" s="91">
        <f t="shared" si="38"/>
        <v>4.9264185675817682E-3</v>
      </c>
      <c r="BI64" s="93">
        <f t="shared" si="39"/>
        <v>2.9370825516253739E-5</v>
      </c>
    </row>
    <row r="65" spans="1:61">
      <c r="A65" s="91">
        <f t="shared" si="64"/>
        <v>26.500001000000001</v>
      </c>
      <c r="B65" s="92">
        <f>T_0*(1+10^('User Cal. Noise Std'!AA66/10))</f>
        <v>4886.1902581372296</v>
      </c>
      <c r="C65" s="92">
        <f t="shared" si="40"/>
        <v>296</v>
      </c>
      <c r="D65" s="93">
        <f t="shared" si="41"/>
        <v>296</v>
      </c>
      <c r="E65" s="92">
        <f>IF(UsePreamp,T_0*(10^(Preamp!AE66/10)-1),0)</f>
        <v>627.06052144883006</v>
      </c>
      <c r="F65" s="92">
        <f>T_0*(10^((FieldFox!B65-kT0dB)/10)-1)</f>
        <v>45411.676407373438</v>
      </c>
      <c r="G65" s="93">
        <f>IF(UsePreamp,10^(Preamp!AD66/10),1)</f>
        <v>199.06734581632566</v>
      </c>
      <c r="H65" s="94">
        <f t="shared" si="42"/>
        <v>5.6331571950785328E-8</v>
      </c>
      <c r="I65" s="94">
        <f t="shared" si="43"/>
        <v>1.1294847333807005E-8</v>
      </c>
      <c r="J65" s="94">
        <f t="shared" si="44"/>
        <v>2.2528134443143055E-9</v>
      </c>
      <c r="K65" s="95">
        <f t="shared" si="45"/>
        <v>627.06052144882983</v>
      </c>
      <c r="L65" s="93">
        <f t="shared" si="46"/>
        <v>199.06734581632574</v>
      </c>
      <c r="M65" s="94">
        <f t="shared" si="47"/>
        <v>6.1524142648784919E-9</v>
      </c>
      <c r="N65" s="94">
        <f t="shared" si="48"/>
        <v>6.1524142648784927E-9</v>
      </c>
      <c r="O65" s="94">
        <f t="shared" si="49"/>
        <v>4.7940933317912516E-8</v>
      </c>
      <c r="P65" s="91">
        <f t="shared" si="50"/>
        <v>1.0644853444746147</v>
      </c>
      <c r="Q65" s="94">
        <f t="shared" si="51"/>
        <v>6.4485344474614736E-2</v>
      </c>
      <c r="R65" s="94">
        <f t="shared" si="52"/>
        <v>6.3269898143890479E-13</v>
      </c>
      <c r="S65" s="91">
        <v>-1</v>
      </c>
      <c r="T65" s="93">
        <f>FieldFox!AD65</f>
        <v>5.5</v>
      </c>
      <c r="U65" s="93">
        <f>FieldFox!AC65</f>
        <v>3.3947007644769931</v>
      </c>
      <c r="V65" s="93">
        <f>FieldFox!AE65</f>
        <v>2.1052992355230069</v>
      </c>
      <c r="W65" s="94">
        <f t="shared" si="53"/>
        <v>1.8054045564434553E-4</v>
      </c>
      <c r="X65" s="94">
        <f t="shared" si="54"/>
        <v>2.2980270150499131E-4</v>
      </c>
      <c r="Y65" s="94">
        <f t="shared" si="55"/>
        <v>2.9180918829824546E-4</v>
      </c>
      <c r="Z65" s="91">
        <f>IF(UsePreamp,Preamp!AF66,FieldFox!D65)</f>
        <v>0.3981071705534972</v>
      </c>
      <c r="AA65" s="91">
        <f t="shared" si="56"/>
        <v>0.40853898265363492</v>
      </c>
      <c r="AB65" s="91">
        <f>'User Cal. Noise Std'!AC66</f>
        <v>0.22</v>
      </c>
      <c r="AC65" s="91">
        <f>'User Cal. Noise Std'!AD66</f>
        <v>0.12</v>
      </c>
      <c r="AD65" s="91">
        <f>IF(UsePreamp,Preamp!AH66,0)</f>
        <v>0</v>
      </c>
      <c r="AE65" s="91">
        <f>DUT!AG66</f>
        <v>0.31622776601683794</v>
      </c>
      <c r="AF65" s="94">
        <f t="shared" si="57"/>
        <v>3.4307783771473645E-9</v>
      </c>
      <c r="AG65" s="94">
        <f t="shared" si="58"/>
        <v>0</v>
      </c>
      <c r="AH65" s="91">
        <f t="shared" si="25"/>
        <v>3.4307783771473645E-9</v>
      </c>
      <c r="AI65" s="94">
        <f t="shared" si="59"/>
        <v>0</v>
      </c>
      <c r="AJ65" s="94">
        <f t="shared" si="60"/>
        <v>0</v>
      </c>
      <c r="AK65" s="91">
        <f t="shared" si="26"/>
        <v>0</v>
      </c>
      <c r="AL65" s="94">
        <f t="shared" si="61"/>
        <v>2.1706739078933333E-12</v>
      </c>
      <c r="AM65" s="94">
        <f t="shared" si="27"/>
        <v>0</v>
      </c>
      <c r="AN65" s="91">
        <f t="shared" si="28"/>
        <v>2.1706739078933333E-12</v>
      </c>
      <c r="AO65" s="94">
        <f t="shared" si="62"/>
        <v>8.3477229028665889E-13</v>
      </c>
      <c r="AP65" s="94">
        <f t="shared" si="29"/>
        <v>2.2123492546640751E-10</v>
      </c>
      <c r="AQ65" s="94">
        <f t="shared" si="30"/>
        <v>2.212365003585609E-10</v>
      </c>
      <c r="AR65" s="94">
        <f t="shared" si="63"/>
        <v>6.5739166257273206E-13</v>
      </c>
      <c r="AS65" s="94">
        <f>B65*(10^('User Cal. Noise Std'!AB66/(ENRconf*10))-1)*R65</f>
        <v>3.5797739252760619E-11</v>
      </c>
      <c r="AT65" s="91">
        <f t="shared" si="31"/>
        <v>2.2412543634207295E-10</v>
      </c>
      <c r="AU65" s="93">
        <f>NseMeas!H65</f>
        <v>438.4470651377784</v>
      </c>
      <c r="AV65" s="93">
        <f>nSD*NseMeas!X65*AT65</f>
        <v>0.45686199573683128</v>
      </c>
      <c r="AW65" s="93">
        <f t="shared" si="32"/>
        <v>2.7229219493682755E-3</v>
      </c>
      <c r="AX65" s="93">
        <f>nSD*NseMeas!X65*AL65</f>
        <v>4.4247472747378329E-3</v>
      </c>
      <c r="AY65" s="93">
        <f t="shared" si="33"/>
        <v>2.6379919433336028E-5</v>
      </c>
      <c r="AZ65" s="93">
        <f>nSD*NseMeas!X65*AM65</f>
        <v>0</v>
      </c>
      <c r="BA65" s="93">
        <f t="shared" si="34"/>
        <v>0</v>
      </c>
      <c r="BB65" s="93">
        <f>nSD*NseMeas!X65*AO65</f>
        <v>1.7016173654831894E-3</v>
      </c>
      <c r="BC65" s="93">
        <f t="shared" si="35"/>
        <v>1.0144898708076197E-5</v>
      </c>
      <c r="BD65" s="93">
        <f>nSD*NseMeas!X65*AP65</f>
        <v>0.45096991767149286</v>
      </c>
      <c r="BE65" s="93">
        <f t="shared" si="36"/>
        <v>2.6878157133072068E-3</v>
      </c>
      <c r="BF65" s="93">
        <f>nSD*NseMeas!X65*AR65</f>
        <v>1.340040969224663E-3</v>
      </c>
      <c r="BG65" s="93">
        <f t="shared" si="37"/>
        <v>7.9892128201410378E-6</v>
      </c>
      <c r="BH65" s="91">
        <f t="shared" si="38"/>
        <v>4.9264185675817682E-3</v>
      </c>
      <c r="BI65" s="93">
        <f t="shared" si="39"/>
        <v>2.9370825516253739E-5</v>
      </c>
    </row>
    <row r="66" spans="1:61">
      <c r="A66" s="91">
        <f t="shared" si="64"/>
        <v>26.500001000000001</v>
      </c>
      <c r="B66" s="92">
        <f>T_0*(1+10^('User Cal. Noise Std'!AA67/10))</f>
        <v>4886.1902581372296</v>
      </c>
      <c r="C66" s="92">
        <f t="shared" si="40"/>
        <v>296</v>
      </c>
      <c r="D66" s="93">
        <f t="shared" si="41"/>
        <v>296</v>
      </c>
      <c r="E66" s="92">
        <f>IF(UsePreamp,T_0*(10^(Preamp!AE67/10)-1),0)</f>
        <v>627.06052144883006</v>
      </c>
      <c r="F66" s="92">
        <f>T_0*(10^((FieldFox!B66-kT0dB)/10)-1)</f>
        <v>45411.676407373438</v>
      </c>
      <c r="G66" s="93">
        <f>IF(UsePreamp,10^(Preamp!AD67/10),1)</f>
        <v>199.06734581632566</v>
      </c>
      <c r="H66" s="94">
        <f t="shared" si="42"/>
        <v>5.6331571950785328E-8</v>
      </c>
      <c r="I66" s="94">
        <f t="shared" si="43"/>
        <v>1.1294847333807005E-8</v>
      </c>
      <c r="J66" s="94">
        <f t="shared" si="44"/>
        <v>2.2528134443143055E-9</v>
      </c>
      <c r="K66" s="95">
        <f t="shared" si="45"/>
        <v>627.06052144882983</v>
      </c>
      <c r="L66" s="93">
        <f t="shared" si="46"/>
        <v>199.06734581632574</v>
      </c>
      <c r="M66" s="94">
        <f t="shared" si="47"/>
        <v>6.1524142648784919E-9</v>
      </c>
      <c r="N66" s="94">
        <f t="shared" si="48"/>
        <v>6.1524142648784927E-9</v>
      </c>
      <c r="O66" s="94">
        <f t="shared" si="49"/>
        <v>4.7940933317912516E-8</v>
      </c>
      <c r="P66" s="91">
        <f t="shared" si="50"/>
        <v>1.0644853444746147</v>
      </c>
      <c r="Q66" s="94">
        <f t="shared" si="51"/>
        <v>6.4485344474614736E-2</v>
      </c>
      <c r="R66" s="94">
        <f t="shared" si="52"/>
        <v>6.3269898143890479E-13</v>
      </c>
      <c r="S66" s="91">
        <v>-1</v>
      </c>
      <c r="T66" s="93">
        <f>FieldFox!AD66</f>
        <v>5.5</v>
      </c>
      <c r="U66" s="93">
        <f>FieldFox!AC66</f>
        <v>3.3947007644769931</v>
      </c>
      <c r="V66" s="93">
        <f>FieldFox!AE66</f>
        <v>2.1052992355230069</v>
      </c>
      <c r="W66" s="94">
        <f t="shared" si="53"/>
        <v>1.8054045564434553E-4</v>
      </c>
      <c r="X66" s="94">
        <f t="shared" si="54"/>
        <v>2.2980270150499131E-4</v>
      </c>
      <c r="Y66" s="94">
        <f t="shared" si="55"/>
        <v>2.9180918829824546E-4</v>
      </c>
      <c r="Z66" s="91">
        <f>IF(UsePreamp,Preamp!AF67,FieldFox!D66)</f>
        <v>0.3981071705534972</v>
      </c>
      <c r="AA66" s="91">
        <f t="shared" si="56"/>
        <v>0.40853898265363492</v>
      </c>
      <c r="AB66" s="91">
        <f>'User Cal. Noise Std'!AC67</f>
        <v>0.22</v>
      </c>
      <c r="AC66" s="91">
        <f>'User Cal. Noise Std'!AD67</f>
        <v>0.12</v>
      </c>
      <c r="AD66" s="91">
        <f>IF(UsePreamp,Preamp!AH67,0)</f>
        <v>0</v>
      </c>
      <c r="AE66" s="91">
        <f>DUT!AG67</f>
        <v>0.31622776601683794</v>
      </c>
      <c r="AF66" s="94">
        <f t="shared" si="57"/>
        <v>3.4307783771473645E-9</v>
      </c>
      <c r="AG66" s="94">
        <f t="shared" si="58"/>
        <v>0</v>
      </c>
      <c r="AH66" s="91">
        <f t="shared" si="25"/>
        <v>3.4307783771473645E-9</v>
      </c>
      <c r="AI66" s="94">
        <f t="shared" si="59"/>
        <v>0</v>
      </c>
      <c r="AJ66" s="94">
        <f t="shared" si="60"/>
        <v>0</v>
      </c>
      <c r="AK66" s="91">
        <f t="shared" si="26"/>
        <v>0</v>
      </c>
      <c r="AL66" s="94">
        <f t="shared" si="61"/>
        <v>2.1706739078933333E-12</v>
      </c>
      <c r="AM66" s="94">
        <f t="shared" si="27"/>
        <v>0</v>
      </c>
      <c r="AN66" s="91">
        <f t="shared" si="28"/>
        <v>2.1706739078933333E-12</v>
      </c>
      <c r="AO66" s="94">
        <f t="shared" si="62"/>
        <v>8.3477229028665889E-13</v>
      </c>
      <c r="AP66" s="94">
        <f t="shared" si="29"/>
        <v>2.2123492546640751E-10</v>
      </c>
      <c r="AQ66" s="94">
        <f t="shared" si="30"/>
        <v>2.212365003585609E-10</v>
      </c>
      <c r="AR66" s="94">
        <f t="shared" si="63"/>
        <v>6.5739166257273206E-13</v>
      </c>
      <c r="AS66" s="94">
        <f>B66*(10^('User Cal. Noise Std'!AB67/(ENRconf*10))-1)*R66</f>
        <v>3.5797739252760619E-11</v>
      </c>
      <c r="AT66" s="91">
        <f t="shared" si="31"/>
        <v>2.2412543634207295E-10</v>
      </c>
      <c r="AU66" s="93">
        <f>NseMeas!H66</f>
        <v>438.4470651377784</v>
      </c>
      <c r="AV66" s="93">
        <f>nSD*NseMeas!X66*AT66</f>
        <v>0.45686199573683128</v>
      </c>
      <c r="AW66" s="93">
        <f t="shared" si="32"/>
        <v>2.7229219493682755E-3</v>
      </c>
      <c r="AX66" s="93">
        <f>nSD*NseMeas!X66*AL66</f>
        <v>4.4247472747378329E-3</v>
      </c>
      <c r="AY66" s="93">
        <f t="shared" si="33"/>
        <v>2.6379919433336028E-5</v>
      </c>
      <c r="AZ66" s="93">
        <f>nSD*NseMeas!X66*AM66</f>
        <v>0</v>
      </c>
      <c r="BA66" s="93">
        <f t="shared" si="34"/>
        <v>0</v>
      </c>
      <c r="BB66" s="93">
        <f>nSD*NseMeas!X66*AO66</f>
        <v>1.7016173654831894E-3</v>
      </c>
      <c r="BC66" s="93">
        <f t="shared" si="35"/>
        <v>1.0144898708076197E-5</v>
      </c>
      <c r="BD66" s="93">
        <f>nSD*NseMeas!X66*AP66</f>
        <v>0.45096991767149286</v>
      </c>
      <c r="BE66" s="93">
        <f t="shared" si="36"/>
        <v>2.6878157133072068E-3</v>
      </c>
      <c r="BF66" s="93">
        <f>nSD*NseMeas!X66*AR66</f>
        <v>1.340040969224663E-3</v>
      </c>
      <c r="BG66" s="93">
        <f t="shared" si="37"/>
        <v>7.9892128201410378E-6</v>
      </c>
      <c r="BH66" s="91">
        <f t="shared" si="38"/>
        <v>4.9264185675817682E-3</v>
      </c>
      <c r="BI66" s="93">
        <f t="shared" si="39"/>
        <v>2.9370825516253739E-5</v>
      </c>
    </row>
    <row r="67" spans="1:61">
      <c r="A67" s="91">
        <f t="shared" si="64"/>
        <v>26.500001000000001</v>
      </c>
      <c r="B67" s="92">
        <f>T_0*(1+10^('User Cal. Noise Std'!AA68/10))</f>
        <v>4886.1902581372296</v>
      </c>
      <c r="C67" s="92">
        <f t="shared" si="40"/>
        <v>296</v>
      </c>
      <c r="D67" s="93">
        <f t="shared" si="41"/>
        <v>296</v>
      </c>
      <c r="E67" s="92">
        <f>IF(UsePreamp,T_0*(10^(Preamp!AE68/10)-1),0)</f>
        <v>627.06052144883006</v>
      </c>
      <c r="F67" s="92">
        <f>T_0*(10^((FieldFox!B67-kT0dB)/10)-1)</f>
        <v>45411.676407373438</v>
      </c>
      <c r="G67" s="93">
        <f>IF(UsePreamp,10^(Preamp!AD68/10),1)</f>
        <v>199.06734581632566</v>
      </c>
      <c r="H67" s="94">
        <f t="shared" si="42"/>
        <v>5.6331571950785328E-8</v>
      </c>
      <c r="I67" s="94">
        <f t="shared" si="43"/>
        <v>1.1294847333807005E-8</v>
      </c>
      <c r="J67" s="94">
        <f t="shared" si="44"/>
        <v>2.2528134443143055E-9</v>
      </c>
      <c r="K67" s="95">
        <f t="shared" si="45"/>
        <v>627.06052144882983</v>
      </c>
      <c r="L67" s="93">
        <f t="shared" si="46"/>
        <v>199.06734581632574</v>
      </c>
      <c r="M67" s="94">
        <f t="shared" si="47"/>
        <v>6.1524142648784919E-9</v>
      </c>
      <c r="N67" s="94">
        <f t="shared" si="48"/>
        <v>6.1524142648784927E-9</v>
      </c>
      <c r="O67" s="94">
        <f t="shared" si="49"/>
        <v>4.7940933317912516E-8</v>
      </c>
      <c r="P67" s="91">
        <f t="shared" si="50"/>
        <v>1.0644853444746147</v>
      </c>
      <c r="Q67" s="94">
        <f t="shared" si="51"/>
        <v>6.4485344474614736E-2</v>
      </c>
      <c r="R67" s="94">
        <f t="shared" si="52"/>
        <v>6.3269898143890479E-13</v>
      </c>
      <c r="S67" s="91">
        <v>-1</v>
      </c>
      <c r="T67" s="93">
        <f>FieldFox!AD67</f>
        <v>5.5</v>
      </c>
      <c r="U67" s="93">
        <f>FieldFox!AC67</f>
        <v>3.3947007644769931</v>
      </c>
      <c r="V67" s="93">
        <f>FieldFox!AE67</f>
        <v>2.1052992355230069</v>
      </c>
      <c r="W67" s="94">
        <f t="shared" si="53"/>
        <v>1.8054045564434553E-4</v>
      </c>
      <c r="X67" s="94">
        <f t="shared" si="54"/>
        <v>2.2980270150499131E-4</v>
      </c>
      <c r="Y67" s="94">
        <f t="shared" si="55"/>
        <v>2.9180918829824546E-4</v>
      </c>
      <c r="Z67" s="91">
        <f>IF(UsePreamp,Preamp!AF68,FieldFox!D67)</f>
        <v>0.3981071705534972</v>
      </c>
      <c r="AA67" s="91">
        <f t="shared" si="56"/>
        <v>0.40853898265363492</v>
      </c>
      <c r="AB67" s="91">
        <f>'User Cal. Noise Std'!AC68</f>
        <v>0.22</v>
      </c>
      <c r="AC67" s="91">
        <f>'User Cal. Noise Std'!AD68</f>
        <v>0.12</v>
      </c>
      <c r="AD67" s="91">
        <f>IF(UsePreamp,Preamp!AH68,0)</f>
        <v>0</v>
      </c>
      <c r="AE67" s="91">
        <f>DUT!AG68</f>
        <v>0.31622776601683794</v>
      </c>
      <c r="AF67" s="94">
        <f t="shared" si="57"/>
        <v>3.4307783771473645E-9</v>
      </c>
      <c r="AG67" s="94">
        <f t="shared" si="58"/>
        <v>0</v>
      </c>
      <c r="AH67" s="91">
        <f t="shared" si="25"/>
        <v>3.4307783771473645E-9</v>
      </c>
      <c r="AI67" s="94">
        <f t="shared" si="59"/>
        <v>0</v>
      </c>
      <c r="AJ67" s="94">
        <f t="shared" si="60"/>
        <v>0</v>
      </c>
      <c r="AK67" s="91">
        <f t="shared" si="26"/>
        <v>0</v>
      </c>
      <c r="AL67" s="94">
        <f t="shared" si="61"/>
        <v>2.1706739078933333E-12</v>
      </c>
      <c r="AM67" s="94">
        <f t="shared" si="27"/>
        <v>0</v>
      </c>
      <c r="AN67" s="91">
        <f t="shared" si="28"/>
        <v>2.1706739078933333E-12</v>
      </c>
      <c r="AO67" s="94">
        <f t="shared" si="62"/>
        <v>8.3477229028665889E-13</v>
      </c>
      <c r="AP67" s="94">
        <f t="shared" si="29"/>
        <v>2.2123492546640751E-10</v>
      </c>
      <c r="AQ67" s="94">
        <f t="shared" si="30"/>
        <v>2.212365003585609E-10</v>
      </c>
      <c r="AR67" s="94">
        <f t="shared" si="63"/>
        <v>6.5739166257273206E-13</v>
      </c>
      <c r="AS67" s="94">
        <f>B67*(10^('User Cal. Noise Std'!AB68/(ENRconf*10))-1)*R67</f>
        <v>3.5797739252760619E-11</v>
      </c>
      <c r="AT67" s="91">
        <f t="shared" si="31"/>
        <v>2.2412543634207295E-10</v>
      </c>
      <c r="AU67" s="93">
        <f>NseMeas!H67</f>
        <v>438.4470651377784</v>
      </c>
      <c r="AV67" s="93">
        <f>nSD*NseMeas!X67*AT67</f>
        <v>0.45686199573683128</v>
      </c>
      <c r="AW67" s="93">
        <f t="shared" si="32"/>
        <v>2.7229219493682755E-3</v>
      </c>
      <c r="AX67" s="93">
        <f>nSD*NseMeas!X67*AL67</f>
        <v>4.4247472747378329E-3</v>
      </c>
      <c r="AY67" s="93">
        <f t="shared" si="33"/>
        <v>2.6379919433336028E-5</v>
      </c>
      <c r="AZ67" s="93">
        <f>nSD*NseMeas!X67*AM67</f>
        <v>0</v>
      </c>
      <c r="BA67" s="93">
        <f t="shared" si="34"/>
        <v>0</v>
      </c>
      <c r="BB67" s="93">
        <f>nSD*NseMeas!X67*AO67</f>
        <v>1.7016173654831894E-3</v>
      </c>
      <c r="BC67" s="93">
        <f t="shared" si="35"/>
        <v>1.0144898708076197E-5</v>
      </c>
      <c r="BD67" s="93">
        <f>nSD*NseMeas!X67*AP67</f>
        <v>0.45096991767149286</v>
      </c>
      <c r="BE67" s="93">
        <f t="shared" si="36"/>
        <v>2.6878157133072068E-3</v>
      </c>
      <c r="BF67" s="93">
        <f>nSD*NseMeas!X67*AR67</f>
        <v>1.340040969224663E-3</v>
      </c>
      <c r="BG67" s="93">
        <f t="shared" si="37"/>
        <v>7.9892128201410378E-6</v>
      </c>
      <c r="BH67" s="91">
        <f t="shared" si="38"/>
        <v>4.9264185675817682E-3</v>
      </c>
      <c r="BI67" s="93">
        <f t="shared" si="39"/>
        <v>2.9370825516253739E-5</v>
      </c>
    </row>
    <row r="68" spans="1:61">
      <c r="A68" s="91">
        <f t="shared" si="64"/>
        <v>26.500001000000001</v>
      </c>
      <c r="B68" s="92">
        <f>T_0*(1+10^('User Cal. Noise Std'!AA69/10))</f>
        <v>4886.1902581372296</v>
      </c>
      <c r="C68" s="92">
        <f t="shared" si="40"/>
        <v>296</v>
      </c>
      <c r="D68" s="93">
        <f t="shared" si="41"/>
        <v>296</v>
      </c>
      <c r="E68" s="92">
        <f>IF(UsePreamp,T_0*(10^(Preamp!AE69/10)-1),0)</f>
        <v>627.06052144883006</v>
      </c>
      <c r="F68" s="92">
        <f>T_0*(10^((FieldFox!B68-kT0dB)/10)-1)</f>
        <v>45411.676407373438</v>
      </c>
      <c r="G68" s="93">
        <f>IF(UsePreamp,10^(Preamp!AD69/10),1)</f>
        <v>199.06734581632566</v>
      </c>
      <c r="H68" s="94">
        <f t="shared" si="42"/>
        <v>5.6331571950785328E-8</v>
      </c>
      <c r="I68" s="94">
        <f t="shared" si="43"/>
        <v>1.1294847333807005E-8</v>
      </c>
      <c r="J68" s="94">
        <f t="shared" si="44"/>
        <v>2.2528134443143055E-9</v>
      </c>
      <c r="K68" s="95">
        <f t="shared" si="45"/>
        <v>627.06052144882983</v>
      </c>
      <c r="L68" s="93">
        <f t="shared" si="46"/>
        <v>199.06734581632574</v>
      </c>
      <c r="M68" s="94">
        <f t="shared" si="47"/>
        <v>6.1524142648784919E-9</v>
      </c>
      <c r="N68" s="94">
        <f t="shared" si="48"/>
        <v>6.1524142648784927E-9</v>
      </c>
      <c r="O68" s="94">
        <f t="shared" si="49"/>
        <v>4.7940933317912516E-8</v>
      </c>
      <c r="P68" s="91">
        <f t="shared" si="50"/>
        <v>1.0644853444746147</v>
      </c>
      <c r="Q68" s="94">
        <f t="shared" si="51"/>
        <v>6.4485344474614736E-2</v>
      </c>
      <c r="R68" s="94">
        <f t="shared" si="52"/>
        <v>6.3269898143890479E-13</v>
      </c>
      <c r="S68" s="91">
        <v>-1</v>
      </c>
      <c r="T68" s="93">
        <f>FieldFox!AD68</f>
        <v>5.5</v>
      </c>
      <c r="U68" s="93">
        <f>FieldFox!AC68</f>
        <v>3.3947007644769931</v>
      </c>
      <c r="V68" s="93">
        <f>FieldFox!AE68</f>
        <v>2.1052992355230069</v>
      </c>
      <c r="W68" s="94">
        <f t="shared" si="53"/>
        <v>1.8054045564434553E-4</v>
      </c>
      <c r="X68" s="94">
        <f t="shared" si="54"/>
        <v>2.2980270150499131E-4</v>
      </c>
      <c r="Y68" s="94">
        <f t="shared" si="55"/>
        <v>2.9180918829824546E-4</v>
      </c>
      <c r="Z68" s="91">
        <f>IF(UsePreamp,Preamp!AF69,FieldFox!D68)</f>
        <v>0.3981071705534972</v>
      </c>
      <c r="AA68" s="91">
        <f t="shared" si="56"/>
        <v>0.40853898265363492</v>
      </c>
      <c r="AB68" s="91">
        <f>'User Cal. Noise Std'!AC69</f>
        <v>0.22</v>
      </c>
      <c r="AC68" s="91">
        <f>'User Cal. Noise Std'!AD69</f>
        <v>0.12</v>
      </c>
      <c r="AD68" s="91">
        <f>IF(UsePreamp,Preamp!AH69,0)</f>
        <v>0</v>
      </c>
      <c r="AE68" s="91">
        <f>DUT!AG69</f>
        <v>0.31622776601683794</v>
      </c>
      <c r="AF68" s="94">
        <f t="shared" si="57"/>
        <v>3.4307783771473645E-9</v>
      </c>
      <c r="AG68" s="94">
        <f t="shared" si="58"/>
        <v>0</v>
      </c>
      <c r="AH68" s="91">
        <f t="shared" si="25"/>
        <v>3.4307783771473645E-9</v>
      </c>
      <c r="AI68" s="94">
        <f t="shared" si="59"/>
        <v>0</v>
      </c>
      <c r="AJ68" s="94">
        <f t="shared" si="60"/>
        <v>0</v>
      </c>
      <c r="AK68" s="91">
        <f t="shared" si="26"/>
        <v>0</v>
      </c>
      <c r="AL68" s="94">
        <f t="shared" si="61"/>
        <v>2.1706739078933333E-12</v>
      </c>
      <c r="AM68" s="94">
        <f t="shared" si="27"/>
        <v>0</v>
      </c>
      <c r="AN68" s="91">
        <f t="shared" si="28"/>
        <v>2.1706739078933333E-12</v>
      </c>
      <c r="AO68" s="94">
        <f t="shared" si="62"/>
        <v>8.3477229028665889E-13</v>
      </c>
      <c r="AP68" s="94">
        <f t="shared" si="29"/>
        <v>2.2123492546640751E-10</v>
      </c>
      <c r="AQ68" s="94">
        <f t="shared" si="30"/>
        <v>2.212365003585609E-10</v>
      </c>
      <c r="AR68" s="94">
        <f t="shared" si="63"/>
        <v>6.5739166257273206E-13</v>
      </c>
      <c r="AS68" s="94">
        <f>B68*(10^('User Cal. Noise Std'!AB69/(ENRconf*10))-1)*R68</f>
        <v>3.5797739252760619E-11</v>
      </c>
      <c r="AT68" s="91">
        <f t="shared" si="31"/>
        <v>2.2412543634207295E-10</v>
      </c>
      <c r="AU68" s="93">
        <f>NseMeas!H68</f>
        <v>438.4470651377784</v>
      </c>
      <c r="AV68" s="93">
        <f>nSD*NseMeas!X68*AT68</f>
        <v>0.45686199573683128</v>
      </c>
      <c r="AW68" s="93">
        <f t="shared" si="32"/>
        <v>2.7229219493682755E-3</v>
      </c>
      <c r="AX68" s="93">
        <f>nSD*NseMeas!X68*AL68</f>
        <v>4.4247472747378329E-3</v>
      </c>
      <c r="AY68" s="93">
        <f t="shared" si="33"/>
        <v>2.6379919433336028E-5</v>
      </c>
      <c r="AZ68" s="93">
        <f>nSD*NseMeas!X68*AM68</f>
        <v>0</v>
      </c>
      <c r="BA68" s="93">
        <f t="shared" si="34"/>
        <v>0</v>
      </c>
      <c r="BB68" s="93">
        <f>nSD*NseMeas!X68*AO68</f>
        <v>1.7016173654831894E-3</v>
      </c>
      <c r="BC68" s="93">
        <f t="shared" si="35"/>
        <v>1.0144898708076197E-5</v>
      </c>
      <c r="BD68" s="93">
        <f>nSD*NseMeas!X68*AP68</f>
        <v>0.45096991767149286</v>
      </c>
      <c r="BE68" s="93">
        <f t="shared" si="36"/>
        <v>2.6878157133072068E-3</v>
      </c>
      <c r="BF68" s="93">
        <f>nSD*NseMeas!X68*AR68</f>
        <v>1.340040969224663E-3</v>
      </c>
      <c r="BG68" s="93">
        <f t="shared" si="37"/>
        <v>7.9892128201410378E-6</v>
      </c>
      <c r="BH68" s="91">
        <f t="shared" si="38"/>
        <v>4.9264185675817682E-3</v>
      </c>
      <c r="BI68" s="93">
        <f t="shared" si="39"/>
        <v>2.9370825516253739E-5</v>
      </c>
    </row>
    <row r="69" spans="1:61">
      <c r="A69" s="91">
        <f t="shared" si="64"/>
        <v>26.500001000000001</v>
      </c>
      <c r="B69" s="92">
        <f>T_0*(1+10^('User Cal. Noise Std'!AA70/10))</f>
        <v>4886.1902581372296</v>
      </c>
      <c r="C69" s="92">
        <f t="shared" ref="C69:C100" si="65">CalAmbient</f>
        <v>296</v>
      </c>
      <c r="D69" s="93">
        <f t="shared" ref="D69:D100" si="66">CalAmbient+FFAmbientOffset</f>
        <v>296</v>
      </c>
      <c r="E69" s="92">
        <f>IF(UsePreamp,T_0*(10^(Preamp!AE70/10)-1),0)</f>
        <v>627.06052144883006</v>
      </c>
      <c r="F69" s="92">
        <f>T_0*(10^((FieldFox!B69-kT0dB)/10)-1)</f>
        <v>45411.676407373438</v>
      </c>
      <c r="G69" s="93">
        <f>IF(UsePreamp,10^(Preamp!AD70/10),1)</f>
        <v>199.06734581632566</v>
      </c>
      <c r="H69" s="94">
        <f t="shared" ref="H69:H100" si="67">((B69+E69)*G69+F69)*k_mw*$F$2</f>
        <v>5.6331571950785328E-8</v>
      </c>
      <c r="I69" s="94">
        <f t="shared" ref="I69:I100" si="68">((C69+E69)*G69+F69)*k_mw*$F$2</f>
        <v>1.1294847333807005E-8</v>
      </c>
      <c r="J69" s="94">
        <f t="shared" ref="J69:J100" si="69">MIN(I69,(D69+F69)*k_mw*$F$2)</f>
        <v>2.2528134443143055E-9</v>
      </c>
      <c r="K69" s="95">
        <f t="shared" ref="K69:K100" si="70">(B69*I69-C69*H69-(B69-C69)*(J69-C69*k_mw*$F$2))/(H69-I69)</f>
        <v>627.06052144882983</v>
      </c>
      <c r="L69" s="93">
        <f t="shared" ref="L69:L100" si="71">(H69-I69)/(B69-C69)/k_mw/$F$2</f>
        <v>199.06734581632574</v>
      </c>
      <c r="M69" s="94">
        <f t="shared" ref="M69:M100" si="72">((B69*I69-C69*H69)/(B69-C69))-(J69-C69*k_mw*$F$2)</f>
        <v>6.1524142648784919E-9</v>
      </c>
      <c r="N69" s="94">
        <f t="shared" ref="N69:N100" si="73">E69*G69*k_mw*BW</f>
        <v>6.1524142648784927E-9</v>
      </c>
      <c r="O69" s="94">
        <f t="shared" ref="O69:O100" si="74">B69*G69*k_mw*BW</f>
        <v>4.7940933317912516E-8</v>
      </c>
      <c r="P69" s="91">
        <f t="shared" ref="P69:P100" si="75">B69/(B69-C69)</f>
        <v>1.0644853444746147</v>
      </c>
      <c r="Q69" s="94">
        <f t="shared" ref="Q69:Q100" si="76">C69/(B69-C69)</f>
        <v>6.4485344474614736E-2</v>
      </c>
      <c r="R69" s="94">
        <f t="shared" ref="R69:R100" si="77">(C69*(H69-I69))/((B69-C69)^2)</f>
        <v>6.3269898143890479E-13</v>
      </c>
      <c r="S69" s="91">
        <v>-1</v>
      </c>
      <c r="T69" s="93">
        <f>FieldFox!AD69</f>
        <v>5.5</v>
      </c>
      <c r="U69" s="93">
        <f>FieldFox!AC69</f>
        <v>3.3947007644769931</v>
      </c>
      <c r="V69" s="93">
        <f>FieldFox!AE69</f>
        <v>2.1052992355230069</v>
      </c>
      <c r="W69" s="94">
        <f t="shared" ref="W69:W100" si="78">Jitter1H1s/SQRT(BW*T69)</f>
        <v>1.8054045564434553E-4</v>
      </c>
      <c r="X69" s="94">
        <f t="shared" ref="X69:X100" si="79">Jitter1H1s/SQRT(BW*U69)</f>
        <v>2.2980270150499131E-4</v>
      </c>
      <c r="Y69" s="94">
        <f t="shared" ref="Y69:Y100" si="80">Jitter1H1s/SQRT(BW*V69)</f>
        <v>2.9180918829824546E-4</v>
      </c>
      <c r="Z69" s="91">
        <f>IF(UsePreamp,Preamp!AF70,FieldFox!D69)</f>
        <v>0.3981071705534972</v>
      </c>
      <c r="AA69" s="91">
        <f t="shared" ref="AA69:AA100" si="81">IF(UsePreamp,PreampGamConf,MagLimited)</f>
        <v>0.40853898265363492</v>
      </c>
      <c r="AB69" s="91">
        <f>'User Cal. Noise Std'!AC70</f>
        <v>0.22</v>
      </c>
      <c r="AC69" s="91">
        <f>'User Cal. Noise Std'!AD70</f>
        <v>0.12</v>
      </c>
      <c r="AD69" s="91">
        <f>IF(UsePreamp,Preamp!AH70,0)</f>
        <v>0</v>
      </c>
      <c r="AE69" s="91">
        <f>DUT!AG70</f>
        <v>0.31622776601683794</v>
      </c>
      <c r="AF69" s="94">
        <f t="shared" ref="AF69:AF100" si="82">O69*2*SQRT(2)*Z69*AA69*AB69*NseSrcConf</f>
        <v>3.4307783771473645E-9</v>
      </c>
      <c r="AG69" s="94">
        <f t="shared" ref="AG69:AG100" si="83">N69*2*SQRT(2)*AD69*AA69*AB69*NseSrcConf</f>
        <v>0</v>
      </c>
      <c r="AH69" s="91">
        <f t="shared" si="25"/>
        <v>3.4307783771473645E-9</v>
      </c>
      <c r="AI69" s="94">
        <f t="shared" ref="AI69:AI100" si="84">N69*2*SQRT(2)*AD69*AA69*AC69*NseSrcConf</f>
        <v>0</v>
      </c>
      <c r="AJ69" s="94">
        <f t="shared" ref="AJ69:AJ100" si="85">N69*2*SQRT(2)*AD69*AA69*AE69*DUTgamConf</f>
        <v>0</v>
      </c>
      <c r="AK69" s="91">
        <f t="shared" si="26"/>
        <v>0</v>
      </c>
      <c r="AL69" s="94">
        <f t="shared" ref="AL69:AL100" si="86">W69*I69*P69</f>
        <v>2.1706739078933333E-12</v>
      </c>
      <c r="AM69" s="94">
        <f t="shared" si="27"/>
        <v>0</v>
      </c>
      <c r="AN69" s="91">
        <f t="shared" si="28"/>
        <v>2.1706739078933333E-12</v>
      </c>
      <c r="AO69" s="94">
        <f t="shared" ref="AO69:AO100" si="87">X69*H69*Q69</f>
        <v>8.3477229028665889E-13</v>
      </c>
      <c r="AP69" s="94">
        <f t="shared" si="29"/>
        <v>2.2123492546640751E-10</v>
      </c>
      <c r="AQ69" s="94">
        <f t="shared" si="30"/>
        <v>2.212365003585609E-10</v>
      </c>
      <c r="AR69" s="94">
        <f t="shared" ref="AR69:AR100" si="88">ABS(Y69*J69*S69)</f>
        <v>6.5739166257273206E-13</v>
      </c>
      <c r="AS69" s="94">
        <f>B69*(10^('User Cal. Noise Std'!AB70/(ENRconf*10))-1)*R69</f>
        <v>3.5797739252760619E-11</v>
      </c>
      <c r="AT69" s="91">
        <f t="shared" si="31"/>
        <v>2.2412543634207295E-10</v>
      </c>
      <c r="AU69" s="93">
        <f>NseMeas!H69</f>
        <v>438.4470651377784</v>
      </c>
      <c r="AV69" s="93">
        <f>nSD*NseMeas!X69*AT69</f>
        <v>0.45686199573683128</v>
      </c>
      <c r="AW69" s="93">
        <f t="shared" si="32"/>
        <v>2.7229219493682755E-3</v>
      </c>
      <c r="AX69" s="93">
        <f>nSD*NseMeas!X69*AL69</f>
        <v>4.4247472747378329E-3</v>
      </c>
      <c r="AY69" s="93">
        <f t="shared" si="33"/>
        <v>2.6379919433336028E-5</v>
      </c>
      <c r="AZ69" s="93">
        <f>nSD*NseMeas!X69*AM69</f>
        <v>0</v>
      </c>
      <c r="BA69" s="93">
        <f t="shared" si="34"/>
        <v>0</v>
      </c>
      <c r="BB69" s="93">
        <f>nSD*NseMeas!X69*AO69</f>
        <v>1.7016173654831894E-3</v>
      </c>
      <c r="BC69" s="93">
        <f t="shared" si="35"/>
        <v>1.0144898708076197E-5</v>
      </c>
      <c r="BD69" s="93">
        <f>nSD*NseMeas!X69*AP69</f>
        <v>0.45096991767149286</v>
      </c>
      <c r="BE69" s="93">
        <f t="shared" si="36"/>
        <v>2.6878157133072068E-3</v>
      </c>
      <c r="BF69" s="93">
        <f>nSD*NseMeas!X69*AR69</f>
        <v>1.340040969224663E-3</v>
      </c>
      <c r="BG69" s="93">
        <f t="shared" si="37"/>
        <v>7.9892128201410378E-6</v>
      </c>
      <c r="BH69" s="91">
        <f t="shared" si="38"/>
        <v>4.9264185675817682E-3</v>
      </c>
      <c r="BI69" s="93">
        <f t="shared" si="39"/>
        <v>2.9370825516253739E-5</v>
      </c>
    </row>
    <row r="70" spans="1:61">
      <c r="A70" s="91">
        <f t="shared" ref="A70:A106" si="89">MIN(StopFreqGHz+0.000001,A69+FreqStep)</f>
        <v>26.500001000000001</v>
      </c>
      <c r="B70" s="92">
        <f>T_0*(1+10^('User Cal. Noise Std'!AA71/10))</f>
        <v>4886.1902581372296</v>
      </c>
      <c r="C70" s="92">
        <f t="shared" si="65"/>
        <v>296</v>
      </c>
      <c r="D70" s="93">
        <f t="shared" si="66"/>
        <v>296</v>
      </c>
      <c r="E70" s="92">
        <f>IF(UsePreamp,T_0*(10^(Preamp!AE71/10)-1),0)</f>
        <v>627.06052144883006</v>
      </c>
      <c r="F70" s="92">
        <f>T_0*(10^((FieldFox!B70-kT0dB)/10)-1)</f>
        <v>45411.676407373438</v>
      </c>
      <c r="G70" s="93">
        <f>IF(UsePreamp,10^(Preamp!AD71/10),1)</f>
        <v>199.06734581632566</v>
      </c>
      <c r="H70" s="94">
        <f t="shared" si="67"/>
        <v>5.6331571950785328E-8</v>
      </c>
      <c r="I70" s="94">
        <f t="shared" si="68"/>
        <v>1.1294847333807005E-8</v>
      </c>
      <c r="J70" s="94">
        <f t="shared" si="69"/>
        <v>2.2528134443143055E-9</v>
      </c>
      <c r="K70" s="95">
        <f t="shared" si="70"/>
        <v>627.06052144882983</v>
      </c>
      <c r="L70" s="93">
        <f t="shared" si="71"/>
        <v>199.06734581632574</v>
      </c>
      <c r="M70" s="94">
        <f t="shared" si="72"/>
        <v>6.1524142648784919E-9</v>
      </c>
      <c r="N70" s="94">
        <f t="shared" si="73"/>
        <v>6.1524142648784927E-9</v>
      </c>
      <c r="O70" s="94">
        <f t="shared" si="74"/>
        <v>4.7940933317912516E-8</v>
      </c>
      <c r="P70" s="91">
        <f t="shared" si="75"/>
        <v>1.0644853444746147</v>
      </c>
      <c r="Q70" s="94">
        <f t="shared" si="76"/>
        <v>6.4485344474614736E-2</v>
      </c>
      <c r="R70" s="94">
        <f t="shared" si="77"/>
        <v>6.3269898143890479E-13</v>
      </c>
      <c r="S70" s="91">
        <v>-1</v>
      </c>
      <c r="T70" s="93">
        <f>FieldFox!AD70</f>
        <v>5.5</v>
      </c>
      <c r="U70" s="93">
        <f>FieldFox!AC70</f>
        <v>3.3947007644769931</v>
      </c>
      <c r="V70" s="93">
        <f>FieldFox!AE70</f>
        <v>2.1052992355230069</v>
      </c>
      <c r="W70" s="94">
        <f t="shared" si="78"/>
        <v>1.8054045564434553E-4</v>
      </c>
      <c r="X70" s="94">
        <f t="shared" si="79"/>
        <v>2.2980270150499131E-4</v>
      </c>
      <c r="Y70" s="94">
        <f t="shared" si="80"/>
        <v>2.9180918829824546E-4</v>
      </c>
      <c r="Z70" s="91">
        <f>IF(UsePreamp,Preamp!AF71,FieldFox!D70)</f>
        <v>0.3981071705534972</v>
      </c>
      <c r="AA70" s="91">
        <f t="shared" si="81"/>
        <v>0.40853898265363492</v>
      </c>
      <c r="AB70" s="91">
        <f>'User Cal. Noise Std'!AC71</f>
        <v>0.22</v>
      </c>
      <c r="AC70" s="91">
        <f>'User Cal. Noise Std'!AD71</f>
        <v>0.12</v>
      </c>
      <c r="AD70" s="91">
        <f>IF(UsePreamp,Preamp!AH71,0)</f>
        <v>0</v>
      </c>
      <c r="AE70" s="91">
        <f>DUT!AG71</f>
        <v>0.31622776601683794</v>
      </c>
      <c r="AF70" s="94">
        <f t="shared" si="82"/>
        <v>3.4307783771473645E-9</v>
      </c>
      <c r="AG70" s="94">
        <f t="shared" si="83"/>
        <v>0</v>
      </c>
      <c r="AH70" s="91">
        <f t="shared" ref="AH70:AH106" si="90">SQRT(AF70^2+AG70^2)</f>
        <v>3.4307783771473645E-9</v>
      </c>
      <c r="AI70" s="94">
        <f t="shared" si="84"/>
        <v>0</v>
      </c>
      <c r="AJ70" s="94">
        <f t="shared" si="85"/>
        <v>0</v>
      </c>
      <c r="AK70" s="91">
        <f t="shared" ref="AK70:AK106" si="91">SQRT(AI70^2+AJ70^2)</f>
        <v>0</v>
      </c>
      <c r="AL70" s="94">
        <f t="shared" si="86"/>
        <v>2.1706739078933333E-12</v>
      </c>
      <c r="AM70" s="94">
        <f t="shared" ref="AM70:AM106" si="92">AK70*P70</f>
        <v>0</v>
      </c>
      <c r="AN70" s="91">
        <f t="shared" ref="AN70:AN106" si="93">SQRT(AL70^2+AM70^2)</f>
        <v>2.1706739078933333E-12</v>
      </c>
      <c r="AO70" s="94">
        <f t="shared" si="87"/>
        <v>8.3477229028665889E-13</v>
      </c>
      <c r="AP70" s="94">
        <f t="shared" ref="AP70:AP106" si="94">AH70*Q70</f>
        <v>2.2123492546640751E-10</v>
      </c>
      <c r="AQ70" s="94">
        <f t="shared" ref="AQ70:AQ106" si="95">SQRT(AO70^2+AP70^2)</f>
        <v>2.212365003585609E-10</v>
      </c>
      <c r="AR70" s="94">
        <f t="shared" si="88"/>
        <v>6.5739166257273206E-13</v>
      </c>
      <c r="AS70" s="94">
        <f>B70*(10^('User Cal. Noise Std'!AB71/(ENRconf*10))-1)*R70</f>
        <v>3.5797739252760619E-11</v>
      </c>
      <c r="AT70" s="91">
        <f t="shared" ref="AT70:AT106" si="96">SQRT((AN70)^2+(AQ70)^2+(AS70)^2+(AR70)^2)</f>
        <v>2.2412543634207295E-10</v>
      </c>
      <c r="AU70" s="93">
        <f>NseMeas!H70</f>
        <v>438.4470651377784</v>
      </c>
      <c r="AV70" s="93">
        <f>nSD*NseMeas!X70*AT70</f>
        <v>0.45686199573683128</v>
      </c>
      <c r="AW70" s="93">
        <f t="shared" ref="AW70:AW106" si="97">10*LOG10(($AU70+290+AV70)/($AU70+290))</f>
        <v>2.7229219493682755E-3</v>
      </c>
      <c r="AX70" s="93">
        <f>nSD*NseMeas!X70*AL70</f>
        <v>4.4247472747378329E-3</v>
      </c>
      <c r="AY70" s="93">
        <f t="shared" ref="AY70:AY106" si="98">10*LOG10(($AU70+290+AX70)/($AU70+290))</f>
        <v>2.6379919433336028E-5</v>
      </c>
      <c r="AZ70" s="93">
        <f>nSD*NseMeas!X70*AM70</f>
        <v>0</v>
      </c>
      <c r="BA70" s="93">
        <f t="shared" ref="BA70:BA106" si="99">10*LOG10(($AU70+290+AZ70)/($AU70+290))</f>
        <v>0</v>
      </c>
      <c r="BB70" s="93">
        <f>nSD*NseMeas!X70*AO70</f>
        <v>1.7016173654831894E-3</v>
      </c>
      <c r="BC70" s="93">
        <f t="shared" ref="BC70:BC106" si="100">10*LOG10(($AU70+290+BB70)/($AU70+290))</f>
        <v>1.0144898708076197E-5</v>
      </c>
      <c r="BD70" s="93">
        <f>nSD*NseMeas!X70*AP70</f>
        <v>0.45096991767149286</v>
      </c>
      <c r="BE70" s="93">
        <f t="shared" ref="BE70:BE106" si="101">10*LOG10(($AU70+290+BD70)/($AU70+290))</f>
        <v>2.6878157133072068E-3</v>
      </c>
      <c r="BF70" s="93">
        <f>nSD*NseMeas!X70*AR70</f>
        <v>1.340040969224663E-3</v>
      </c>
      <c r="BG70" s="93">
        <f t="shared" ref="BG70:BG106" si="102">10*LOG10(($AU70+290+BF70)/($AU70+290))</f>
        <v>7.9892128201410378E-6</v>
      </c>
      <c r="BH70" s="91">
        <f t="shared" ref="BH70:BH106" si="103">SQRT(AX70^2+BB70^2+BF70^2)</f>
        <v>4.9264185675817682E-3</v>
      </c>
      <c r="BI70" s="93">
        <f t="shared" ref="BI70:BI106" si="104">10*LOG10(($AU70+290+BH70)/($AU70+290))</f>
        <v>2.9370825516253739E-5</v>
      </c>
    </row>
    <row r="71" spans="1:61">
      <c r="A71" s="91">
        <f t="shared" si="89"/>
        <v>26.500001000000001</v>
      </c>
      <c r="B71" s="92">
        <f>T_0*(1+10^('User Cal. Noise Std'!AA72/10))</f>
        <v>4886.1902581372296</v>
      </c>
      <c r="C71" s="92">
        <f t="shared" si="65"/>
        <v>296</v>
      </c>
      <c r="D71" s="93">
        <f t="shared" si="66"/>
        <v>296</v>
      </c>
      <c r="E71" s="92">
        <f>IF(UsePreamp,T_0*(10^(Preamp!AE72/10)-1),0)</f>
        <v>627.06052144883006</v>
      </c>
      <c r="F71" s="92">
        <f>T_0*(10^((FieldFox!B71-kT0dB)/10)-1)</f>
        <v>45411.676407373438</v>
      </c>
      <c r="G71" s="93">
        <f>IF(UsePreamp,10^(Preamp!AD72/10),1)</f>
        <v>199.06734581632566</v>
      </c>
      <c r="H71" s="94">
        <f t="shared" si="67"/>
        <v>5.6331571950785328E-8</v>
      </c>
      <c r="I71" s="94">
        <f t="shared" si="68"/>
        <v>1.1294847333807005E-8</v>
      </c>
      <c r="J71" s="94">
        <f t="shared" si="69"/>
        <v>2.2528134443143055E-9</v>
      </c>
      <c r="K71" s="95">
        <f t="shared" si="70"/>
        <v>627.06052144882983</v>
      </c>
      <c r="L71" s="93">
        <f t="shared" si="71"/>
        <v>199.06734581632574</v>
      </c>
      <c r="M71" s="94">
        <f t="shared" si="72"/>
        <v>6.1524142648784919E-9</v>
      </c>
      <c r="N71" s="94">
        <f t="shared" si="73"/>
        <v>6.1524142648784927E-9</v>
      </c>
      <c r="O71" s="94">
        <f t="shared" si="74"/>
        <v>4.7940933317912516E-8</v>
      </c>
      <c r="P71" s="91">
        <f t="shared" si="75"/>
        <v>1.0644853444746147</v>
      </c>
      <c r="Q71" s="94">
        <f t="shared" si="76"/>
        <v>6.4485344474614736E-2</v>
      </c>
      <c r="R71" s="94">
        <f t="shared" si="77"/>
        <v>6.3269898143890479E-13</v>
      </c>
      <c r="S71" s="91">
        <v>-1</v>
      </c>
      <c r="T71" s="93">
        <f>FieldFox!AD71</f>
        <v>5.5</v>
      </c>
      <c r="U71" s="93">
        <f>FieldFox!AC71</f>
        <v>3.3947007644769931</v>
      </c>
      <c r="V71" s="93">
        <f>FieldFox!AE71</f>
        <v>2.1052992355230069</v>
      </c>
      <c r="W71" s="94">
        <f t="shared" si="78"/>
        <v>1.8054045564434553E-4</v>
      </c>
      <c r="X71" s="94">
        <f t="shared" si="79"/>
        <v>2.2980270150499131E-4</v>
      </c>
      <c r="Y71" s="94">
        <f t="shared" si="80"/>
        <v>2.9180918829824546E-4</v>
      </c>
      <c r="Z71" s="91">
        <f>IF(UsePreamp,Preamp!AF72,FieldFox!D71)</f>
        <v>0.3981071705534972</v>
      </c>
      <c r="AA71" s="91">
        <f t="shared" si="81"/>
        <v>0.40853898265363492</v>
      </c>
      <c r="AB71" s="91">
        <f>'User Cal. Noise Std'!AC72</f>
        <v>0.22</v>
      </c>
      <c r="AC71" s="91">
        <f>'User Cal. Noise Std'!AD72</f>
        <v>0.12</v>
      </c>
      <c r="AD71" s="91">
        <f>IF(UsePreamp,Preamp!AH72,0)</f>
        <v>0</v>
      </c>
      <c r="AE71" s="91">
        <f>DUT!AG72</f>
        <v>0.31622776601683794</v>
      </c>
      <c r="AF71" s="94">
        <f t="shared" si="82"/>
        <v>3.4307783771473645E-9</v>
      </c>
      <c r="AG71" s="94">
        <f t="shared" si="83"/>
        <v>0</v>
      </c>
      <c r="AH71" s="91">
        <f t="shared" si="90"/>
        <v>3.4307783771473645E-9</v>
      </c>
      <c r="AI71" s="94">
        <f t="shared" si="84"/>
        <v>0</v>
      </c>
      <c r="AJ71" s="94">
        <f t="shared" si="85"/>
        <v>0</v>
      </c>
      <c r="AK71" s="91">
        <f t="shared" si="91"/>
        <v>0</v>
      </c>
      <c r="AL71" s="94">
        <f t="shared" si="86"/>
        <v>2.1706739078933333E-12</v>
      </c>
      <c r="AM71" s="94">
        <f t="shared" si="92"/>
        <v>0</v>
      </c>
      <c r="AN71" s="91">
        <f t="shared" si="93"/>
        <v>2.1706739078933333E-12</v>
      </c>
      <c r="AO71" s="94">
        <f t="shared" si="87"/>
        <v>8.3477229028665889E-13</v>
      </c>
      <c r="AP71" s="94">
        <f t="shared" si="94"/>
        <v>2.2123492546640751E-10</v>
      </c>
      <c r="AQ71" s="94">
        <f t="shared" si="95"/>
        <v>2.212365003585609E-10</v>
      </c>
      <c r="AR71" s="94">
        <f t="shared" si="88"/>
        <v>6.5739166257273206E-13</v>
      </c>
      <c r="AS71" s="94">
        <f>B71*(10^('User Cal. Noise Std'!AB72/(ENRconf*10))-1)*R71</f>
        <v>3.5797739252760619E-11</v>
      </c>
      <c r="AT71" s="91">
        <f t="shared" si="96"/>
        <v>2.2412543634207295E-10</v>
      </c>
      <c r="AU71" s="93">
        <f>NseMeas!H71</f>
        <v>438.4470651377784</v>
      </c>
      <c r="AV71" s="93">
        <f>nSD*NseMeas!X71*AT71</f>
        <v>0.45686199573683128</v>
      </c>
      <c r="AW71" s="93">
        <f t="shared" si="97"/>
        <v>2.7229219493682755E-3</v>
      </c>
      <c r="AX71" s="93">
        <f>nSD*NseMeas!X71*AL71</f>
        <v>4.4247472747378329E-3</v>
      </c>
      <c r="AY71" s="93">
        <f t="shared" si="98"/>
        <v>2.6379919433336028E-5</v>
      </c>
      <c r="AZ71" s="93">
        <f>nSD*NseMeas!X71*AM71</f>
        <v>0</v>
      </c>
      <c r="BA71" s="93">
        <f t="shared" si="99"/>
        <v>0</v>
      </c>
      <c r="BB71" s="93">
        <f>nSD*NseMeas!X71*AO71</f>
        <v>1.7016173654831894E-3</v>
      </c>
      <c r="BC71" s="93">
        <f t="shared" si="100"/>
        <v>1.0144898708076197E-5</v>
      </c>
      <c r="BD71" s="93">
        <f>nSD*NseMeas!X71*AP71</f>
        <v>0.45096991767149286</v>
      </c>
      <c r="BE71" s="93">
        <f t="shared" si="101"/>
        <v>2.6878157133072068E-3</v>
      </c>
      <c r="BF71" s="93">
        <f>nSD*NseMeas!X71*AR71</f>
        <v>1.340040969224663E-3</v>
      </c>
      <c r="BG71" s="93">
        <f t="shared" si="102"/>
        <v>7.9892128201410378E-6</v>
      </c>
      <c r="BH71" s="91">
        <f t="shared" si="103"/>
        <v>4.9264185675817682E-3</v>
      </c>
      <c r="BI71" s="93">
        <f t="shared" si="104"/>
        <v>2.9370825516253739E-5</v>
      </c>
    </row>
    <row r="72" spans="1:61">
      <c r="A72" s="91">
        <f t="shared" si="89"/>
        <v>26.500001000000001</v>
      </c>
      <c r="B72" s="92">
        <f>T_0*(1+10^('User Cal. Noise Std'!AA73/10))</f>
        <v>4886.1902581372296</v>
      </c>
      <c r="C72" s="92">
        <f t="shared" si="65"/>
        <v>296</v>
      </c>
      <c r="D72" s="93">
        <f t="shared" si="66"/>
        <v>296</v>
      </c>
      <c r="E72" s="92">
        <f>IF(UsePreamp,T_0*(10^(Preamp!AE73/10)-1),0)</f>
        <v>627.06052144883006</v>
      </c>
      <c r="F72" s="92">
        <f>T_0*(10^((FieldFox!B72-kT0dB)/10)-1)</f>
        <v>45411.676407373438</v>
      </c>
      <c r="G72" s="93">
        <f>IF(UsePreamp,10^(Preamp!AD73/10),1)</f>
        <v>199.06734581632566</v>
      </c>
      <c r="H72" s="94">
        <f t="shared" si="67"/>
        <v>5.6331571950785328E-8</v>
      </c>
      <c r="I72" s="94">
        <f t="shared" si="68"/>
        <v>1.1294847333807005E-8</v>
      </c>
      <c r="J72" s="94">
        <f t="shared" si="69"/>
        <v>2.2528134443143055E-9</v>
      </c>
      <c r="K72" s="95">
        <f t="shared" si="70"/>
        <v>627.06052144882983</v>
      </c>
      <c r="L72" s="93">
        <f t="shared" si="71"/>
        <v>199.06734581632574</v>
      </c>
      <c r="M72" s="94">
        <f t="shared" si="72"/>
        <v>6.1524142648784919E-9</v>
      </c>
      <c r="N72" s="94">
        <f t="shared" si="73"/>
        <v>6.1524142648784927E-9</v>
      </c>
      <c r="O72" s="94">
        <f t="shared" si="74"/>
        <v>4.7940933317912516E-8</v>
      </c>
      <c r="P72" s="91">
        <f t="shared" si="75"/>
        <v>1.0644853444746147</v>
      </c>
      <c r="Q72" s="94">
        <f t="shared" si="76"/>
        <v>6.4485344474614736E-2</v>
      </c>
      <c r="R72" s="94">
        <f t="shared" si="77"/>
        <v>6.3269898143890479E-13</v>
      </c>
      <c r="S72" s="91">
        <v>-1</v>
      </c>
      <c r="T72" s="93">
        <f>FieldFox!AD72</f>
        <v>5.5</v>
      </c>
      <c r="U72" s="93">
        <f>FieldFox!AC72</f>
        <v>3.3947007644769931</v>
      </c>
      <c r="V72" s="93">
        <f>FieldFox!AE72</f>
        <v>2.1052992355230069</v>
      </c>
      <c r="W72" s="94">
        <f t="shared" si="78"/>
        <v>1.8054045564434553E-4</v>
      </c>
      <c r="X72" s="94">
        <f t="shared" si="79"/>
        <v>2.2980270150499131E-4</v>
      </c>
      <c r="Y72" s="94">
        <f t="shared" si="80"/>
        <v>2.9180918829824546E-4</v>
      </c>
      <c r="Z72" s="91">
        <f>IF(UsePreamp,Preamp!AF73,FieldFox!D72)</f>
        <v>0.3981071705534972</v>
      </c>
      <c r="AA72" s="91">
        <f t="shared" si="81"/>
        <v>0.40853898265363492</v>
      </c>
      <c r="AB72" s="91">
        <f>'User Cal. Noise Std'!AC73</f>
        <v>0.22</v>
      </c>
      <c r="AC72" s="91">
        <f>'User Cal. Noise Std'!AD73</f>
        <v>0.12</v>
      </c>
      <c r="AD72" s="91">
        <f>IF(UsePreamp,Preamp!AH73,0)</f>
        <v>0</v>
      </c>
      <c r="AE72" s="91">
        <f>DUT!AG73</f>
        <v>0.31622776601683794</v>
      </c>
      <c r="AF72" s="94">
        <f t="shared" si="82"/>
        <v>3.4307783771473645E-9</v>
      </c>
      <c r="AG72" s="94">
        <f t="shared" si="83"/>
        <v>0</v>
      </c>
      <c r="AH72" s="91">
        <f t="shared" si="90"/>
        <v>3.4307783771473645E-9</v>
      </c>
      <c r="AI72" s="94">
        <f t="shared" si="84"/>
        <v>0</v>
      </c>
      <c r="AJ72" s="94">
        <f t="shared" si="85"/>
        <v>0</v>
      </c>
      <c r="AK72" s="91">
        <f t="shared" si="91"/>
        <v>0</v>
      </c>
      <c r="AL72" s="94">
        <f t="shared" si="86"/>
        <v>2.1706739078933333E-12</v>
      </c>
      <c r="AM72" s="94">
        <f t="shared" si="92"/>
        <v>0</v>
      </c>
      <c r="AN72" s="91">
        <f t="shared" si="93"/>
        <v>2.1706739078933333E-12</v>
      </c>
      <c r="AO72" s="94">
        <f t="shared" si="87"/>
        <v>8.3477229028665889E-13</v>
      </c>
      <c r="AP72" s="94">
        <f t="shared" si="94"/>
        <v>2.2123492546640751E-10</v>
      </c>
      <c r="AQ72" s="94">
        <f t="shared" si="95"/>
        <v>2.212365003585609E-10</v>
      </c>
      <c r="AR72" s="94">
        <f t="shared" si="88"/>
        <v>6.5739166257273206E-13</v>
      </c>
      <c r="AS72" s="94">
        <f>B72*(10^('User Cal. Noise Std'!AB73/(ENRconf*10))-1)*R72</f>
        <v>3.5797739252760619E-11</v>
      </c>
      <c r="AT72" s="91">
        <f t="shared" si="96"/>
        <v>2.2412543634207295E-10</v>
      </c>
      <c r="AU72" s="93">
        <f>NseMeas!H72</f>
        <v>438.4470651377784</v>
      </c>
      <c r="AV72" s="93">
        <f>nSD*NseMeas!X72*AT72</f>
        <v>0.45686199573683128</v>
      </c>
      <c r="AW72" s="93">
        <f t="shared" si="97"/>
        <v>2.7229219493682755E-3</v>
      </c>
      <c r="AX72" s="93">
        <f>nSD*NseMeas!X72*AL72</f>
        <v>4.4247472747378329E-3</v>
      </c>
      <c r="AY72" s="93">
        <f t="shared" si="98"/>
        <v>2.6379919433336028E-5</v>
      </c>
      <c r="AZ72" s="93">
        <f>nSD*NseMeas!X72*AM72</f>
        <v>0</v>
      </c>
      <c r="BA72" s="93">
        <f t="shared" si="99"/>
        <v>0</v>
      </c>
      <c r="BB72" s="93">
        <f>nSD*NseMeas!X72*AO72</f>
        <v>1.7016173654831894E-3</v>
      </c>
      <c r="BC72" s="93">
        <f t="shared" si="100"/>
        <v>1.0144898708076197E-5</v>
      </c>
      <c r="BD72" s="93">
        <f>nSD*NseMeas!X72*AP72</f>
        <v>0.45096991767149286</v>
      </c>
      <c r="BE72" s="93">
        <f t="shared" si="101"/>
        <v>2.6878157133072068E-3</v>
      </c>
      <c r="BF72" s="93">
        <f>nSD*NseMeas!X72*AR72</f>
        <v>1.340040969224663E-3</v>
      </c>
      <c r="BG72" s="93">
        <f t="shared" si="102"/>
        <v>7.9892128201410378E-6</v>
      </c>
      <c r="BH72" s="91">
        <f t="shared" si="103"/>
        <v>4.9264185675817682E-3</v>
      </c>
      <c r="BI72" s="93">
        <f t="shared" si="104"/>
        <v>2.9370825516253739E-5</v>
      </c>
    </row>
    <row r="73" spans="1:61">
      <c r="A73" s="91">
        <f t="shared" si="89"/>
        <v>26.500001000000001</v>
      </c>
      <c r="B73" s="92">
        <f>T_0*(1+10^('User Cal. Noise Std'!AA74/10))</f>
        <v>4886.1902581372296</v>
      </c>
      <c r="C73" s="92">
        <f t="shared" si="65"/>
        <v>296</v>
      </c>
      <c r="D73" s="93">
        <f t="shared" si="66"/>
        <v>296</v>
      </c>
      <c r="E73" s="92">
        <f>IF(UsePreamp,T_0*(10^(Preamp!AE74/10)-1),0)</f>
        <v>627.06052144883006</v>
      </c>
      <c r="F73" s="92">
        <f>T_0*(10^((FieldFox!B73-kT0dB)/10)-1)</f>
        <v>45411.676407373438</v>
      </c>
      <c r="G73" s="93">
        <f>IF(UsePreamp,10^(Preamp!AD74/10),1)</f>
        <v>199.06734581632566</v>
      </c>
      <c r="H73" s="94">
        <f t="shared" si="67"/>
        <v>5.6331571950785328E-8</v>
      </c>
      <c r="I73" s="94">
        <f t="shared" si="68"/>
        <v>1.1294847333807005E-8</v>
      </c>
      <c r="J73" s="94">
        <f t="shared" si="69"/>
        <v>2.2528134443143055E-9</v>
      </c>
      <c r="K73" s="95">
        <f t="shared" si="70"/>
        <v>627.06052144882983</v>
      </c>
      <c r="L73" s="93">
        <f t="shared" si="71"/>
        <v>199.06734581632574</v>
      </c>
      <c r="M73" s="94">
        <f t="shared" si="72"/>
        <v>6.1524142648784919E-9</v>
      </c>
      <c r="N73" s="94">
        <f t="shared" si="73"/>
        <v>6.1524142648784927E-9</v>
      </c>
      <c r="O73" s="94">
        <f t="shared" si="74"/>
        <v>4.7940933317912516E-8</v>
      </c>
      <c r="P73" s="91">
        <f t="shared" si="75"/>
        <v>1.0644853444746147</v>
      </c>
      <c r="Q73" s="94">
        <f t="shared" si="76"/>
        <v>6.4485344474614736E-2</v>
      </c>
      <c r="R73" s="94">
        <f t="shared" si="77"/>
        <v>6.3269898143890479E-13</v>
      </c>
      <c r="S73" s="91">
        <v>-1</v>
      </c>
      <c r="T73" s="93">
        <f>FieldFox!AD73</f>
        <v>5.5</v>
      </c>
      <c r="U73" s="93">
        <f>FieldFox!AC73</f>
        <v>3.3947007644769931</v>
      </c>
      <c r="V73" s="93">
        <f>FieldFox!AE73</f>
        <v>2.1052992355230069</v>
      </c>
      <c r="W73" s="94">
        <f t="shared" si="78"/>
        <v>1.8054045564434553E-4</v>
      </c>
      <c r="X73" s="94">
        <f t="shared" si="79"/>
        <v>2.2980270150499131E-4</v>
      </c>
      <c r="Y73" s="94">
        <f t="shared" si="80"/>
        <v>2.9180918829824546E-4</v>
      </c>
      <c r="Z73" s="91">
        <f>IF(UsePreamp,Preamp!AF74,FieldFox!D73)</f>
        <v>0.3981071705534972</v>
      </c>
      <c r="AA73" s="91">
        <f t="shared" si="81"/>
        <v>0.40853898265363492</v>
      </c>
      <c r="AB73" s="91">
        <f>'User Cal. Noise Std'!AC74</f>
        <v>0.22</v>
      </c>
      <c r="AC73" s="91">
        <f>'User Cal. Noise Std'!AD74</f>
        <v>0.12</v>
      </c>
      <c r="AD73" s="91">
        <f>IF(UsePreamp,Preamp!AH74,0)</f>
        <v>0</v>
      </c>
      <c r="AE73" s="91">
        <f>DUT!AG74</f>
        <v>0.31622776601683794</v>
      </c>
      <c r="AF73" s="94">
        <f t="shared" si="82"/>
        <v>3.4307783771473645E-9</v>
      </c>
      <c r="AG73" s="94">
        <f t="shared" si="83"/>
        <v>0</v>
      </c>
      <c r="AH73" s="91">
        <f t="shared" si="90"/>
        <v>3.4307783771473645E-9</v>
      </c>
      <c r="AI73" s="94">
        <f t="shared" si="84"/>
        <v>0</v>
      </c>
      <c r="AJ73" s="94">
        <f t="shared" si="85"/>
        <v>0</v>
      </c>
      <c r="AK73" s="91">
        <f t="shared" si="91"/>
        <v>0</v>
      </c>
      <c r="AL73" s="94">
        <f t="shared" si="86"/>
        <v>2.1706739078933333E-12</v>
      </c>
      <c r="AM73" s="94">
        <f t="shared" si="92"/>
        <v>0</v>
      </c>
      <c r="AN73" s="91">
        <f t="shared" si="93"/>
        <v>2.1706739078933333E-12</v>
      </c>
      <c r="AO73" s="94">
        <f t="shared" si="87"/>
        <v>8.3477229028665889E-13</v>
      </c>
      <c r="AP73" s="94">
        <f t="shared" si="94"/>
        <v>2.2123492546640751E-10</v>
      </c>
      <c r="AQ73" s="94">
        <f t="shared" si="95"/>
        <v>2.212365003585609E-10</v>
      </c>
      <c r="AR73" s="94">
        <f t="shared" si="88"/>
        <v>6.5739166257273206E-13</v>
      </c>
      <c r="AS73" s="94">
        <f>B73*(10^('User Cal. Noise Std'!AB74/(ENRconf*10))-1)*R73</f>
        <v>3.5797739252760619E-11</v>
      </c>
      <c r="AT73" s="91">
        <f t="shared" si="96"/>
        <v>2.2412543634207295E-10</v>
      </c>
      <c r="AU73" s="93">
        <f>NseMeas!H73</f>
        <v>438.4470651377784</v>
      </c>
      <c r="AV73" s="93">
        <f>nSD*NseMeas!X73*AT73</f>
        <v>0.45686199573683128</v>
      </c>
      <c r="AW73" s="93">
        <f t="shared" si="97"/>
        <v>2.7229219493682755E-3</v>
      </c>
      <c r="AX73" s="93">
        <f>nSD*NseMeas!X73*AL73</f>
        <v>4.4247472747378329E-3</v>
      </c>
      <c r="AY73" s="93">
        <f t="shared" si="98"/>
        <v>2.6379919433336028E-5</v>
      </c>
      <c r="AZ73" s="93">
        <f>nSD*NseMeas!X73*AM73</f>
        <v>0</v>
      </c>
      <c r="BA73" s="93">
        <f t="shared" si="99"/>
        <v>0</v>
      </c>
      <c r="BB73" s="93">
        <f>nSD*NseMeas!X73*AO73</f>
        <v>1.7016173654831894E-3</v>
      </c>
      <c r="BC73" s="93">
        <f t="shared" si="100"/>
        <v>1.0144898708076197E-5</v>
      </c>
      <c r="BD73" s="93">
        <f>nSD*NseMeas!X73*AP73</f>
        <v>0.45096991767149286</v>
      </c>
      <c r="BE73" s="93">
        <f t="shared" si="101"/>
        <v>2.6878157133072068E-3</v>
      </c>
      <c r="BF73" s="93">
        <f>nSD*NseMeas!X73*AR73</f>
        <v>1.340040969224663E-3</v>
      </c>
      <c r="BG73" s="93">
        <f t="shared" si="102"/>
        <v>7.9892128201410378E-6</v>
      </c>
      <c r="BH73" s="91">
        <f t="shared" si="103"/>
        <v>4.9264185675817682E-3</v>
      </c>
      <c r="BI73" s="93">
        <f t="shared" si="104"/>
        <v>2.9370825516253739E-5</v>
      </c>
    </row>
    <row r="74" spans="1:61">
      <c r="A74" s="91">
        <f t="shared" si="89"/>
        <v>26.500001000000001</v>
      </c>
      <c r="B74" s="92">
        <f>T_0*(1+10^('User Cal. Noise Std'!AA75/10))</f>
        <v>4886.1902581372296</v>
      </c>
      <c r="C74" s="92">
        <f t="shared" si="65"/>
        <v>296</v>
      </c>
      <c r="D74" s="93">
        <f t="shared" si="66"/>
        <v>296</v>
      </c>
      <c r="E74" s="92">
        <f>IF(UsePreamp,T_0*(10^(Preamp!AE75/10)-1),0)</f>
        <v>627.06052144883006</v>
      </c>
      <c r="F74" s="92">
        <f>T_0*(10^((FieldFox!B74-kT0dB)/10)-1)</f>
        <v>45411.676407373438</v>
      </c>
      <c r="G74" s="93">
        <f>IF(UsePreamp,10^(Preamp!AD75/10),1)</f>
        <v>199.06734581632566</v>
      </c>
      <c r="H74" s="94">
        <f t="shared" si="67"/>
        <v>5.6331571950785328E-8</v>
      </c>
      <c r="I74" s="94">
        <f t="shared" si="68"/>
        <v>1.1294847333807005E-8</v>
      </c>
      <c r="J74" s="94">
        <f t="shared" si="69"/>
        <v>2.2528134443143055E-9</v>
      </c>
      <c r="K74" s="95">
        <f t="shared" si="70"/>
        <v>627.06052144882983</v>
      </c>
      <c r="L74" s="93">
        <f t="shared" si="71"/>
        <v>199.06734581632574</v>
      </c>
      <c r="M74" s="94">
        <f t="shared" si="72"/>
        <v>6.1524142648784919E-9</v>
      </c>
      <c r="N74" s="94">
        <f t="shared" si="73"/>
        <v>6.1524142648784927E-9</v>
      </c>
      <c r="O74" s="94">
        <f t="shared" si="74"/>
        <v>4.7940933317912516E-8</v>
      </c>
      <c r="P74" s="91">
        <f t="shared" si="75"/>
        <v>1.0644853444746147</v>
      </c>
      <c r="Q74" s="94">
        <f t="shared" si="76"/>
        <v>6.4485344474614736E-2</v>
      </c>
      <c r="R74" s="94">
        <f t="shared" si="77"/>
        <v>6.3269898143890479E-13</v>
      </c>
      <c r="S74" s="91">
        <v>-1</v>
      </c>
      <c r="T74" s="93">
        <f>FieldFox!AD74</f>
        <v>5.5</v>
      </c>
      <c r="U74" s="93">
        <f>FieldFox!AC74</f>
        <v>3.3947007644769931</v>
      </c>
      <c r="V74" s="93">
        <f>FieldFox!AE74</f>
        <v>2.1052992355230069</v>
      </c>
      <c r="W74" s="94">
        <f t="shared" si="78"/>
        <v>1.8054045564434553E-4</v>
      </c>
      <c r="X74" s="94">
        <f t="shared" si="79"/>
        <v>2.2980270150499131E-4</v>
      </c>
      <c r="Y74" s="94">
        <f t="shared" si="80"/>
        <v>2.9180918829824546E-4</v>
      </c>
      <c r="Z74" s="91">
        <f>IF(UsePreamp,Preamp!AF75,FieldFox!D74)</f>
        <v>0.3981071705534972</v>
      </c>
      <c r="AA74" s="91">
        <f t="shared" si="81"/>
        <v>0.40853898265363492</v>
      </c>
      <c r="AB74" s="91">
        <f>'User Cal. Noise Std'!AC75</f>
        <v>0.22</v>
      </c>
      <c r="AC74" s="91">
        <f>'User Cal. Noise Std'!AD75</f>
        <v>0.12</v>
      </c>
      <c r="AD74" s="91">
        <f>IF(UsePreamp,Preamp!AH75,0)</f>
        <v>0</v>
      </c>
      <c r="AE74" s="91">
        <f>DUT!AG75</f>
        <v>0.31622776601683794</v>
      </c>
      <c r="AF74" s="94">
        <f t="shared" si="82"/>
        <v>3.4307783771473645E-9</v>
      </c>
      <c r="AG74" s="94">
        <f t="shared" si="83"/>
        <v>0</v>
      </c>
      <c r="AH74" s="91">
        <f t="shared" si="90"/>
        <v>3.4307783771473645E-9</v>
      </c>
      <c r="AI74" s="94">
        <f t="shared" si="84"/>
        <v>0</v>
      </c>
      <c r="AJ74" s="94">
        <f t="shared" si="85"/>
        <v>0</v>
      </c>
      <c r="AK74" s="91">
        <f t="shared" si="91"/>
        <v>0</v>
      </c>
      <c r="AL74" s="94">
        <f t="shared" si="86"/>
        <v>2.1706739078933333E-12</v>
      </c>
      <c r="AM74" s="94">
        <f t="shared" si="92"/>
        <v>0</v>
      </c>
      <c r="AN74" s="91">
        <f t="shared" si="93"/>
        <v>2.1706739078933333E-12</v>
      </c>
      <c r="AO74" s="94">
        <f t="shared" si="87"/>
        <v>8.3477229028665889E-13</v>
      </c>
      <c r="AP74" s="94">
        <f t="shared" si="94"/>
        <v>2.2123492546640751E-10</v>
      </c>
      <c r="AQ74" s="94">
        <f t="shared" si="95"/>
        <v>2.212365003585609E-10</v>
      </c>
      <c r="AR74" s="94">
        <f t="shared" si="88"/>
        <v>6.5739166257273206E-13</v>
      </c>
      <c r="AS74" s="94">
        <f>B74*(10^('User Cal. Noise Std'!AB75/(ENRconf*10))-1)*R74</f>
        <v>3.5797739252760619E-11</v>
      </c>
      <c r="AT74" s="91">
        <f t="shared" si="96"/>
        <v>2.2412543634207295E-10</v>
      </c>
      <c r="AU74" s="93">
        <f>NseMeas!H74</f>
        <v>438.4470651377784</v>
      </c>
      <c r="AV74" s="93">
        <f>nSD*NseMeas!X74*AT74</f>
        <v>0.45686199573683128</v>
      </c>
      <c r="AW74" s="93">
        <f t="shared" si="97"/>
        <v>2.7229219493682755E-3</v>
      </c>
      <c r="AX74" s="93">
        <f>nSD*NseMeas!X74*AL74</f>
        <v>4.4247472747378329E-3</v>
      </c>
      <c r="AY74" s="93">
        <f t="shared" si="98"/>
        <v>2.6379919433336028E-5</v>
      </c>
      <c r="AZ74" s="93">
        <f>nSD*NseMeas!X74*AM74</f>
        <v>0</v>
      </c>
      <c r="BA74" s="93">
        <f t="shared" si="99"/>
        <v>0</v>
      </c>
      <c r="BB74" s="93">
        <f>nSD*NseMeas!X74*AO74</f>
        <v>1.7016173654831894E-3</v>
      </c>
      <c r="BC74" s="93">
        <f t="shared" si="100"/>
        <v>1.0144898708076197E-5</v>
      </c>
      <c r="BD74" s="93">
        <f>nSD*NseMeas!X74*AP74</f>
        <v>0.45096991767149286</v>
      </c>
      <c r="BE74" s="93">
        <f t="shared" si="101"/>
        <v>2.6878157133072068E-3</v>
      </c>
      <c r="BF74" s="93">
        <f>nSD*NseMeas!X74*AR74</f>
        <v>1.340040969224663E-3</v>
      </c>
      <c r="BG74" s="93">
        <f t="shared" si="102"/>
        <v>7.9892128201410378E-6</v>
      </c>
      <c r="BH74" s="91">
        <f t="shared" si="103"/>
        <v>4.9264185675817682E-3</v>
      </c>
      <c r="BI74" s="93">
        <f t="shared" si="104"/>
        <v>2.9370825516253739E-5</v>
      </c>
    </row>
    <row r="75" spans="1:61">
      <c r="A75" s="91">
        <f t="shared" si="89"/>
        <v>26.500001000000001</v>
      </c>
      <c r="B75" s="92">
        <f>T_0*(1+10^('User Cal. Noise Std'!AA76/10))</f>
        <v>4886.1902581372296</v>
      </c>
      <c r="C75" s="92">
        <f t="shared" si="65"/>
        <v>296</v>
      </c>
      <c r="D75" s="93">
        <f t="shared" si="66"/>
        <v>296</v>
      </c>
      <c r="E75" s="92">
        <f>IF(UsePreamp,T_0*(10^(Preamp!AE76/10)-1),0)</f>
        <v>627.06052144883006</v>
      </c>
      <c r="F75" s="92">
        <f>T_0*(10^((FieldFox!B75-kT0dB)/10)-1)</f>
        <v>45411.676407373438</v>
      </c>
      <c r="G75" s="93">
        <f>IF(UsePreamp,10^(Preamp!AD76/10),1)</f>
        <v>199.06734581632566</v>
      </c>
      <c r="H75" s="94">
        <f t="shared" si="67"/>
        <v>5.6331571950785328E-8</v>
      </c>
      <c r="I75" s="94">
        <f t="shared" si="68"/>
        <v>1.1294847333807005E-8</v>
      </c>
      <c r="J75" s="94">
        <f t="shared" si="69"/>
        <v>2.2528134443143055E-9</v>
      </c>
      <c r="K75" s="95">
        <f t="shared" si="70"/>
        <v>627.06052144882983</v>
      </c>
      <c r="L75" s="93">
        <f t="shared" si="71"/>
        <v>199.06734581632574</v>
      </c>
      <c r="M75" s="94">
        <f t="shared" si="72"/>
        <v>6.1524142648784919E-9</v>
      </c>
      <c r="N75" s="94">
        <f t="shared" si="73"/>
        <v>6.1524142648784927E-9</v>
      </c>
      <c r="O75" s="94">
        <f t="shared" si="74"/>
        <v>4.7940933317912516E-8</v>
      </c>
      <c r="P75" s="91">
        <f t="shared" si="75"/>
        <v>1.0644853444746147</v>
      </c>
      <c r="Q75" s="94">
        <f t="shared" si="76"/>
        <v>6.4485344474614736E-2</v>
      </c>
      <c r="R75" s="94">
        <f t="shared" si="77"/>
        <v>6.3269898143890479E-13</v>
      </c>
      <c r="S75" s="91">
        <v>-1</v>
      </c>
      <c r="T75" s="93">
        <f>FieldFox!AD75</f>
        <v>5.5</v>
      </c>
      <c r="U75" s="93">
        <f>FieldFox!AC75</f>
        <v>3.3947007644769931</v>
      </c>
      <c r="V75" s="93">
        <f>FieldFox!AE75</f>
        <v>2.1052992355230069</v>
      </c>
      <c r="W75" s="94">
        <f t="shared" si="78"/>
        <v>1.8054045564434553E-4</v>
      </c>
      <c r="X75" s="94">
        <f t="shared" si="79"/>
        <v>2.2980270150499131E-4</v>
      </c>
      <c r="Y75" s="94">
        <f t="shared" si="80"/>
        <v>2.9180918829824546E-4</v>
      </c>
      <c r="Z75" s="91">
        <f>IF(UsePreamp,Preamp!AF76,FieldFox!D75)</f>
        <v>0.3981071705534972</v>
      </c>
      <c r="AA75" s="91">
        <f t="shared" si="81"/>
        <v>0.40853898265363492</v>
      </c>
      <c r="AB75" s="91">
        <f>'User Cal. Noise Std'!AC76</f>
        <v>0.22</v>
      </c>
      <c r="AC75" s="91">
        <f>'User Cal. Noise Std'!AD76</f>
        <v>0.12</v>
      </c>
      <c r="AD75" s="91">
        <f>IF(UsePreamp,Preamp!AH76,0)</f>
        <v>0</v>
      </c>
      <c r="AE75" s="91">
        <f>DUT!AG76</f>
        <v>0.31622776601683794</v>
      </c>
      <c r="AF75" s="94">
        <f t="shared" si="82"/>
        <v>3.4307783771473645E-9</v>
      </c>
      <c r="AG75" s="94">
        <f t="shared" si="83"/>
        <v>0</v>
      </c>
      <c r="AH75" s="91">
        <f t="shared" si="90"/>
        <v>3.4307783771473645E-9</v>
      </c>
      <c r="AI75" s="94">
        <f t="shared" si="84"/>
        <v>0</v>
      </c>
      <c r="AJ75" s="94">
        <f t="shared" si="85"/>
        <v>0</v>
      </c>
      <c r="AK75" s="91">
        <f t="shared" si="91"/>
        <v>0</v>
      </c>
      <c r="AL75" s="94">
        <f t="shared" si="86"/>
        <v>2.1706739078933333E-12</v>
      </c>
      <c r="AM75" s="94">
        <f t="shared" si="92"/>
        <v>0</v>
      </c>
      <c r="AN75" s="91">
        <f t="shared" si="93"/>
        <v>2.1706739078933333E-12</v>
      </c>
      <c r="AO75" s="94">
        <f t="shared" si="87"/>
        <v>8.3477229028665889E-13</v>
      </c>
      <c r="AP75" s="94">
        <f t="shared" si="94"/>
        <v>2.2123492546640751E-10</v>
      </c>
      <c r="AQ75" s="94">
        <f t="shared" si="95"/>
        <v>2.212365003585609E-10</v>
      </c>
      <c r="AR75" s="94">
        <f t="shared" si="88"/>
        <v>6.5739166257273206E-13</v>
      </c>
      <c r="AS75" s="94">
        <f>B75*(10^('User Cal. Noise Std'!AB76/(ENRconf*10))-1)*R75</f>
        <v>3.5797739252760619E-11</v>
      </c>
      <c r="AT75" s="91">
        <f t="shared" si="96"/>
        <v>2.2412543634207295E-10</v>
      </c>
      <c r="AU75" s="93">
        <f>NseMeas!H75</f>
        <v>438.4470651377784</v>
      </c>
      <c r="AV75" s="93">
        <f>nSD*NseMeas!X75*AT75</f>
        <v>0.45686199573683128</v>
      </c>
      <c r="AW75" s="93">
        <f t="shared" si="97"/>
        <v>2.7229219493682755E-3</v>
      </c>
      <c r="AX75" s="93">
        <f>nSD*NseMeas!X75*AL75</f>
        <v>4.4247472747378329E-3</v>
      </c>
      <c r="AY75" s="93">
        <f t="shared" si="98"/>
        <v>2.6379919433336028E-5</v>
      </c>
      <c r="AZ75" s="93">
        <f>nSD*NseMeas!X75*AM75</f>
        <v>0</v>
      </c>
      <c r="BA75" s="93">
        <f t="shared" si="99"/>
        <v>0</v>
      </c>
      <c r="BB75" s="93">
        <f>nSD*NseMeas!X75*AO75</f>
        <v>1.7016173654831894E-3</v>
      </c>
      <c r="BC75" s="93">
        <f t="shared" si="100"/>
        <v>1.0144898708076197E-5</v>
      </c>
      <c r="BD75" s="93">
        <f>nSD*NseMeas!X75*AP75</f>
        <v>0.45096991767149286</v>
      </c>
      <c r="BE75" s="93">
        <f t="shared" si="101"/>
        <v>2.6878157133072068E-3</v>
      </c>
      <c r="BF75" s="93">
        <f>nSD*NseMeas!X75*AR75</f>
        <v>1.340040969224663E-3</v>
      </c>
      <c r="BG75" s="93">
        <f t="shared" si="102"/>
        <v>7.9892128201410378E-6</v>
      </c>
      <c r="BH75" s="91">
        <f t="shared" si="103"/>
        <v>4.9264185675817682E-3</v>
      </c>
      <c r="BI75" s="93">
        <f t="shared" si="104"/>
        <v>2.9370825516253739E-5</v>
      </c>
    </row>
    <row r="76" spans="1:61">
      <c r="A76" s="91">
        <f t="shared" si="89"/>
        <v>26.500001000000001</v>
      </c>
      <c r="B76" s="92">
        <f>T_0*(1+10^('User Cal. Noise Std'!AA77/10))</f>
        <v>4886.1902581372296</v>
      </c>
      <c r="C76" s="92">
        <f t="shared" si="65"/>
        <v>296</v>
      </c>
      <c r="D76" s="93">
        <f t="shared" si="66"/>
        <v>296</v>
      </c>
      <c r="E76" s="92">
        <f>IF(UsePreamp,T_0*(10^(Preamp!AE77/10)-1),0)</f>
        <v>627.06052144883006</v>
      </c>
      <c r="F76" s="92">
        <f>T_0*(10^((FieldFox!B76-kT0dB)/10)-1)</f>
        <v>45411.676407373438</v>
      </c>
      <c r="G76" s="93">
        <f>IF(UsePreamp,10^(Preamp!AD77/10),1)</f>
        <v>199.06734581632566</v>
      </c>
      <c r="H76" s="94">
        <f t="shared" si="67"/>
        <v>5.6331571950785328E-8</v>
      </c>
      <c r="I76" s="94">
        <f t="shared" si="68"/>
        <v>1.1294847333807005E-8</v>
      </c>
      <c r="J76" s="94">
        <f t="shared" si="69"/>
        <v>2.2528134443143055E-9</v>
      </c>
      <c r="K76" s="95">
        <f t="shared" si="70"/>
        <v>627.06052144882983</v>
      </c>
      <c r="L76" s="93">
        <f t="shared" si="71"/>
        <v>199.06734581632574</v>
      </c>
      <c r="M76" s="94">
        <f t="shared" si="72"/>
        <v>6.1524142648784919E-9</v>
      </c>
      <c r="N76" s="94">
        <f t="shared" si="73"/>
        <v>6.1524142648784927E-9</v>
      </c>
      <c r="O76" s="94">
        <f t="shared" si="74"/>
        <v>4.7940933317912516E-8</v>
      </c>
      <c r="P76" s="91">
        <f t="shared" si="75"/>
        <v>1.0644853444746147</v>
      </c>
      <c r="Q76" s="94">
        <f t="shared" si="76"/>
        <v>6.4485344474614736E-2</v>
      </c>
      <c r="R76" s="94">
        <f t="shared" si="77"/>
        <v>6.3269898143890479E-13</v>
      </c>
      <c r="S76" s="91">
        <v>-1</v>
      </c>
      <c r="T76" s="93">
        <f>FieldFox!AD76</f>
        <v>5.5</v>
      </c>
      <c r="U76" s="93">
        <f>FieldFox!AC76</f>
        <v>3.3947007644769931</v>
      </c>
      <c r="V76" s="93">
        <f>FieldFox!AE76</f>
        <v>2.1052992355230069</v>
      </c>
      <c r="W76" s="94">
        <f t="shared" si="78"/>
        <v>1.8054045564434553E-4</v>
      </c>
      <c r="X76" s="94">
        <f t="shared" si="79"/>
        <v>2.2980270150499131E-4</v>
      </c>
      <c r="Y76" s="94">
        <f t="shared" si="80"/>
        <v>2.9180918829824546E-4</v>
      </c>
      <c r="Z76" s="91">
        <f>IF(UsePreamp,Preamp!AF77,FieldFox!D76)</f>
        <v>0.3981071705534972</v>
      </c>
      <c r="AA76" s="91">
        <f t="shared" si="81"/>
        <v>0.40853898265363492</v>
      </c>
      <c r="AB76" s="91">
        <f>'User Cal. Noise Std'!AC77</f>
        <v>0.22</v>
      </c>
      <c r="AC76" s="91">
        <f>'User Cal. Noise Std'!AD77</f>
        <v>0.12</v>
      </c>
      <c r="AD76" s="91">
        <f>IF(UsePreamp,Preamp!AH77,0)</f>
        <v>0</v>
      </c>
      <c r="AE76" s="91">
        <f>DUT!AG77</f>
        <v>0.31622776601683794</v>
      </c>
      <c r="AF76" s="94">
        <f t="shared" si="82"/>
        <v>3.4307783771473645E-9</v>
      </c>
      <c r="AG76" s="94">
        <f t="shared" si="83"/>
        <v>0</v>
      </c>
      <c r="AH76" s="91">
        <f t="shared" si="90"/>
        <v>3.4307783771473645E-9</v>
      </c>
      <c r="AI76" s="94">
        <f t="shared" si="84"/>
        <v>0</v>
      </c>
      <c r="AJ76" s="94">
        <f t="shared" si="85"/>
        <v>0</v>
      </c>
      <c r="AK76" s="91">
        <f t="shared" si="91"/>
        <v>0</v>
      </c>
      <c r="AL76" s="94">
        <f t="shared" si="86"/>
        <v>2.1706739078933333E-12</v>
      </c>
      <c r="AM76" s="94">
        <f t="shared" si="92"/>
        <v>0</v>
      </c>
      <c r="AN76" s="91">
        <f t="shared" si="93"/>
        <v>2.1706739078933333E-12</v>
      </c>
      <c r="AO76" s="94">
        <f t="shared" si="87"/>
        <v>8.3477229028665889E-13</v>
      </c>
      <c r="AP76" s="94">
        <f t="shared" si="94"/>
        <v>2.2123492546640751E-10</v>
      </c>
      <c r="AQ76" s="94">
        <f t="shared" si="95"/>
        <v>2.212365003585609E-10</v>
      </c>
      <c r="AR76" s="94">
        <f t="shared" si="88"/>
        <v>6.5739166257273206E-13</v>
      </c>
      <c r="AS76" s="94">
        <f>B76*(10^('User Cal. Noise Std'!AB77/(ENRconf*10))-1)*R76</f>
        <v>3.5797739252760619E-11</v>
      </c>
      <c r="AT76" s="91">
        <f t="shared" si="96"/>
        <v>2.2412543634207295E-10</v>
      </c>
      <c r="AU76" s="93">
        <f>NseMeas!H76</f>
        <v>438.4470651377784</v>
      </c>
      <c r="AV76" s="93">
        <f>nSD*NseMeas!X76*AT76</f>
        <v>0.45686199573683128</v>
      </c>
      <c r="AW76" s="93">
        <f t="shared" si="97"/>
        <v>2.7229219493682755E-3</v>
      </c>
      <c r="AX76" s="93">
        <f>nSD*NseMeas!X76*AL76</f>
        <v>4.4247472747378329E-3</v>
      </c>
      <c r="AY76" s="93">
        <f t="shared" si="98"/>
        <v>2.6379919433336028E-5</v>
      </c>
      <c r="AZ76" s="93">
        <f>nSD*NseMeas!X76*AM76</f>
        <v>0</v>
      </c>
      <c r="BA76" s="93">
        <f t="shared" si="99"/>
        <v>0</v>
      </c>
      <c r="BB76" s="93">
        <f>nSD*NseMeas!X76*AO76</f>
        <v>1.7016173654831894E-3</v>
      </c>
      <c r="BC76" s="93">
        <f t="shared" si="100"/>
        <v>1.0144898708076197E-5</v>
      </c>
      <c r="BD76" s="93">
        <f>nSD*NseMeas!X76*AP76</f>
        <v>0.45096991767149286</v>
      </c>
      <c r="BE76" s="93">
        <f t="shared" si="101"/>
        <v>2.6878157133072068E-3</v>
      </c>
      <c r="BF76" s="93">
        <f>nSD*NseMeas!X76*AR76</f>
        <v>1.340040969224663E-3</v>
      </c>
      <c r="BG76" s="93">
        <f t="shared" si="102"/>
        <v>7.9892128201410378E-6</v>
      </c>
      <c r="BH76" s="91">
        <f t="shared" si="103"/>
        <v>4.9264185675817682E-3</v>
      </c>
      <c r="BI76" s="93">
        <f t="shared" si="104"/>
        <v>2.9370825516253739E-5</v>
      </c>
    </row>
    <row r="77" spans="1:61">
      <c r="A77" s="91">
        <f t="shared" si="89"/>
        <v>26.500001000000001</v>
      </c>
      <c r="B77" s="92">
        <f>T_0*(1+10^('User Cal. Noise Std'!AA78/10))</f>
        <v>4886.1902581372296</v>
      </c>
      <c r="C77" s="92">
        <f t="shared" si="65"/>
        <v>296</v>
      </c>
      <c r="D77" s="93">
        <f t="shared" si="66"/>
        <v>296</v>
      </c>
      <c r="E77" s="92">
        <f>IF(UsePreamp,T_0*(10^(Preamp!AE78/10)-1),0)</f>
        <v>627.06052144883006</v>
      </c>
      <c r="F77" s="92">
        <f>T_0*(10^((FieldFox!B77-kT0dB)/10)-1)</f>
        <v>45411.676407373438</v>
      </c>
      <c r="G77" s="93">
        <f>IF(UsePreamp,10^(Preamp!AD78/10),1)</f>
        <v>199.06734581632566</v>
      </c>
      <c r="H77" s="94">
        <f t="shared" si="67"/>
        <v>5.6331571950785328E-8</v>
      </c>
      <c r="I77" s="94">
        <f t="shared" si="68"/>
        <v>1.1294847333807005E-8</v>
      </c>
      <c r="J77" s="94">
        <f t="shared" si="69"/>
        <v>2.2528134443143055E-9</v>
      </c>
      <c r="K77" s="95">
        <f t="shared" si="70"/>
        <v>627.06052144882983</v>
      </c>
      <c r="L77" s="93">
        <f t="shared" si="71"/>
        <v>199.06734581632574</v>
      </c>
      <c r="M77" s="94">
        <f t="shared" si="72"/>
        <v>6.1524142648784919E-9</v>
      </c>
      <c r="N77" s="94">
        <f t="shared" si="73"/>
        <v>6.1524142648784927E-9</v>
      </c>
      <c r="O77" s="94">
        <f t="shared" si="74"/>
        <v>4.7940933317912516E-8</v>
      </c>
      <c r="P77" s="91">
        <f t="shared" si="75"/>
        <v>1.0644853444746147</v>
      </c>
      <c r="Q77" s="94">
        <f t="shared" si="76"/>
        <v>6.4485344474614736E-2</v>
      </c>
      <c r="R77" s="94">
        <f t="shared" si="77"/>
        <v>6.3269898143890479E-13</v>
      </c>
      <c r="S77" s="91">
        <v>-1</v>
      </c>
      <c r="T77" s="93">
        <f>FieldFox!AD77</f>
        <v>5.5</v>
      </c>
      <c r="U77" s="93">
        <f>FieldFox!AC77</f>
        <v>3.3947007644769931</v>
      </c>
      <c r="V77" s="93">
        <f>FieldFox!AE77</f>
        <v>2.1052992355230069</v>
      </c>
      <c r="W77" s="94">
        <f t="shared" si="78"/>
        <v>1.8054045564434553E-4</v>
      </c>
      <c r="X77" s="94">
        <f t="shared" si="79"/>
        <v>2.2980270150499131E-4</v>
      </c>
      <c r="Y77" s="94">
        <f t="shared" si="80"/>
        <v>2.9180918829824546E-4</v>
      </c>
      <c r="Z77" s="91">
        <f>IF(UsePreamp,Preamp!AF78,FieldFox!D77)</f>
        <v>0.3981071705534972</v>
      </c>
      <c r="AA77" s="91">
        <f t="shared" si="81"/>
        <v>0.40853898265363492</v>
      </c>
      <c r="AB77" s="91">
        <f>'User Cal. Noise Std'!AC78</f>
        <v>0.22</v>
      </c>
      <c r="AC77" s="91">
        <f>'User Cal. Noise Std'!AD78</f>
        <v>0.12</v>
      </c>
      <c r="AD77" s="91">
        <f>IF(UsePreamp,Preamp!AH78,0)</f>
        <v>0</v>
      </c>
      <c r="AE77" s="91">
        <f>DUT!AG78</f>
        <v>0.31622776601683794</v>
      </c>
      <c r="AF77" s="94">
        <f t="shared" si="82"/>
        <v>3.4307783771473645E-9</v>
      </c>
      <c r="AG77" s="94">
        <f t="shared" si="83"/>
        <v>0</v>
      </c>
      <c r="AH77" s="91">
        <f t="shared" si="90"/>
        <v>3.4307783771473645E-9</v>
      </c>
      <c r="AI77" s="94">
        <f t="shared" si="84"/>
        <v>0</v>
      </c>
      <c r="AJ77" s="94">
        <f t="shared" si="85"/>
        <v>0</v>
      </c>
      <c r="AK77" s="91">
        <f t="shared" si="91"/>
        <v>0</v>
      </c>
      <c r="AL77" s="94">
        <f t="shared" si="86"/>
        <v>2.1706739078933333E-12</v>
      </c>
      <c r="AM77" s="94">
        <f t="shared" si="92"/>
        <v>0</v>
      </c>
      <c r="AN77" s="91">
        <f t="shared" si="93"/>
        <v>2.1706739078933333E-12</v>
      </c>
      <c r="AO77" s="94">
        <f t="shared" si="87"/>
        <v>8.3477229028665889E-13</v>
      </c>
      <c r="AP77" s="94">
        <f t="shared" si="94"/>
        <v>2.2123492546640751E-10</v>
      </c>
      <c r="AQ77" s="94">
        <f t="shared" si="95"/>
        <v>2.212365003585609E-10</v>
      </c>
      <c r="AR77" s="94">
        <f t="shared" si="88"/>
        <v>6.5739166257273206E-13</v>
      </c>
      <c r="AS77" s="94">
        <f>B77*(10^('User Cal. Noise Std'!AB78/(ENRconf*10))-1)*R77</f>
        <v>3.5797739252760619E-11</v>
      </c>
      <c r="AT77" s="91">
        <f t="shared" si="96"/>
        <v>2.2412543634207295E-10</v>
      </c>
      <c r="AU77" s="93">
        <f>NseMeas!H77</f>
        <v>438.4470651377784</v>
      </c>
      <c r="AV77" s="93">
        <f>nSD*NseMeas!X77*AT77</f>
        <v>0.45686199573683128</v>
      </c>
      <c r="AW77" s="93">
        <f t="shared" si="97"/>
        <v>2.7229219493682755E-3</v>
      </c>
      <c r="AX77" s="93">
        <f>nSD*NseMeas!X77*AL77</f>
        <v>4.4247472747378329E-3</v>
      </c>
      <c r="AY77" s="93">
        <f t="shared" si="98"/>
        <v>2.6379919433336028E-5</v>
      </c>
      <c r="AZ77" s="93">
        <f>nSD*NseMeas!X77*AM77</f>
        <v>0</v>
      </c>
      <c r="BA77" s="93">
        <f t="shared" si="99"/>
        <v>0</v>
      </c>
      <c r="BB77" s="93">
        <f>nSD*NseMeas!X77*AO77</f>
        <v>1.7016173654831894E-3</v>
      </c>
      <c r="BC77" s="93">
        <f t="shared" si="100"/>
        <v>1.0144898708076197E-5</v>
      </c>
      <c r="BD77" s="93">
        <f>nSD*NseMeas!X77*AP77</f>
        <v>0.45096991767149286</v>
      </c>
      <c r="BE77" s="93">
        <f t="shared" si="101"/>
        <v>2.6878157133072068E-3</v>
      </c>
      <c r="BF77" s="93">
        <f>nSD*NseMeas!X77*AR77</f>
        <v>1.340040969224663E-3</v>
      </c>
      <c r="BG77" s="93">
        <f t="shared" si="102"/>
        <v>7.9892128201410378E-6</v>
      </c>
      <c r="BH77" s="91">
        <f t="shared" si="103"/>
        <v>4.9264185675817682E-3</v>
      </c>
      <c r="BI77" s="93">
        <f t="shared" si="104"/>
        <v>2.9370825516253739E-5</v>
      </c>
    </row>
    <row r="78" spans="1:61">
      <c r="A78" s="91">
        <f t="shared" si="89"/>
        <v>26.500001000000001</v>
      </c>
      <c r="B78" s="92">
        <f>T_0*(1+10^('User Cal. Noise Std'!AA79/10))</f>
        <v>4886.1902581372296</v>
      </c>
      <c r="C78" s="92">
        <f t="shared" si="65"/>
        <v>296</v>
      </c>
      <c r="D78" s="93">
        <f t="shared" si="66"/>
        <v>296</v>
      </c>
      <c r="E78" s="92">
        <f>IF(UsePreamp,T_0*(10^(Preamp!AE79/10)-1),0)</f>
        <v>627.06052144883006</v>
      </c>
      <c r="F78" s="92">
        <f>T_0*(10^((FieldFox!B78-kT0dB)/10)-1)</f>
        <v>45411.676407373438</v>
      </c>
      <c r="G78" s="93">
        <f>IF(UsePreamp,10^(Preamp!AD79/10),1)</f>
        <v>199.06734581632566</v>
      </c>
      <c r="H78" s="94">
        <f t="shared" si="67"/>
        <v>5.6331571950785328E-8</v>
      </c>
      <c r="I78" s="94">
        <f t="shared" si="68"/>
        <v>1.1294847333807005E-8</v>
      </c>
      <c r="J78" s="94">
        <f t="shared" si="69"/>
        <v>2.2528134443143055E-9</v>
      </c>
      <c r="K78" s="95">
        <f t="shared" si="70"/>
        <v>627.06052144882983</v>
      </c>
      <c r="L78" s="93">
        <f t="shared" si="71"/>
        <v>199.06734581632574</v>
      </c>
      <c r="M78" s="94">
        <f t="shared" si="72"/>
        <v>6.1524142648784919E-9</v>
      </c>
      <c r="N78" s="94">
        <f t="shared" si="73"/>
        <v>6.1524142648784927E-9</v>
      </c>
      <c r="O78" s="94">
        <f t="shared" si="74"/>
        <v>4.7940933317912516E-8</v>
      </c>
      <c r="P78" s="91">
        <f t="shared" si="75"/>
        <v>1.0644853444746147</v>
      </c>
      <c r="Q78" s="94">
        <f t="shared" si="76"/>
        <v>6.4485344474614736E-2</v>
      </c>
      <c r="R78" s="94">
        <f t="shared" si="77"/>
        <v>6.3269898143890479E-13</v>
      </c>
      <c r="S78" s="91">
        <v>-1</v>
      </c>
      <c r="T78" s="93">
        <f>FieldFox!AD78</f>
        <v>5.5</v>
      </c>
      <c r="U78" s="93">
        <f>FieldFox!AC78</f>
        <v>3.3947007644769931</v>
      </c>
      <c r="V78" s="93">
        <f>FieldFox!AE78</f>
        <v>2.1052992355230069</v>
      </c>
      <c r="W78" s="94">
        <f t="shared" si="78"/>
        <v>1.8054045564434553E-4</v>
      </c>
      <c r="X78" s="94">
        <f t="shared" si="79"/>
        <v>2.2980270150499131E-4</v>
      </c>
      <c r="Y78" s="94">
        <f t="shared" si="80"/>
        <v>2.9180918829824546E-4</v>
      </c>
      <c r="Z78" s="91">
        <f>IF(UsePreamp,Preamp!AF79,FieldFox!D78)</f>
        <v>0.3981071705534972</v>
      </c>
      <c r="AA78" s="91">
        <f t="shared" si="81"/>
        <v>0.40853898265363492</v>
      </c>
      <c r="AB78" s="91">
        <f>'User Cal. Noise Std'!AC79</f>
        <v>0.22</v>
      </c>
      <c r="AC78" s="91">
        <f>'User Cal. Noise Std'!AD79</f>
        <v>0.12</v>
      </c>
      <c r="AD78" s="91">
        <f>IF(UsePreamp,Preamp!AH79,0)</f>
        <v>0</v>
      </c>
      <c r="AE78" s="91">
        <f>DUT!AG79</f>
        <v>0.31622776601683794</v>
      </c>
      <c r="AF78" s="94">
        <f t="shared" si="82"/>
        <v>3.4307783771473645E-9</v>
      </c>
      <c r="AG78" s="94">
        <f t="shared" si="83"/>
        <v>0</v>
      </c>
      <c r="AH78" s="91">
        <f t="shared" si="90"/>
        <v>3.4307783771473645E-9</v>
      </c>
      <c r="AI78" s="94">
        <f t="shared" si="84"/>
        <v>0</v>
      </c>
      <c r="AJ78" s="94">
        <f t="shared" si="85"/>
        <v>0</v>
      </c>
      <c r="AK78" s="91">
        <f t="shared" si="91"/>
        <v>0</v>
      </c>
      <c r="AL78" s="94">
        <f t="shared" si="86"/>
        <v>2.1706739078933333E-12</v>
      </c>
      <c r="AM78" s="94">
        <f t="shared" si="92"/>
        <v>0</v>
      </c>
      <c r="AN78" s="91">
        <f t="shared" si="93"/>
        <v>2.1706739078933333E-12</v>
      </c>
      <c r="AO78" s="94">
        <f t="shared" si="87"/>
        <v>8.3477229028665889E-13</v>
      </c>
      <c r="AP78" s="94">
        <f t="shared" si="94"/>
        <v>2.2123492546640751E-10</v>
      </c>
      <c r="AQ78" s="94">
        <f t="shared" si="95"/>
        <v>2.212365003585609E-10</v>
      </c>
      <c r="AR78" s="94">
        <f t="shared" si="88"/>
        <v>6.5739166257273206E-13</v>
      </c>
      <c r="AS78" s="94">
        <f>B78*(10^('User Cal. Noise Std'!AB79/(ENRconf*10))-1)*R78</f>
        <v>3.5797739252760619E-11</v>
      </c>
      <c r="AT78" s="91">
        <f t="shared" si="96"/>
        <v>2.2412543634207295E-10</v>
      </c>
      <c r="AU78" s="93">
        <f>NseMeas!H78</f>
        <v>438.4470651377784</v>
      </c>
      <c r="AV78" s="93">
        <f>nSD*NseMeas!X78*AT78</f>
        <v>0.45686199573683128</v>
      </c>
      <c r="AW78" s="93">
        <f t="shared" si="97"/>
        <v>2.7229219493682755E-3</v>
      </c>
      <c r="AX78" s="93">
        <f>nSD*NseMeas!X78*AL78</f>
        <v>4.4247472747378329E-3</v>
      </c>
      <c r="AY78" s="93">
        <f t="shared" si="98"/>
        <v>2.6379919433336028E-5</v>
      </c>
      <c r="AZ78" s="93">
        <f>nSD*NseMeas!X78*AM78</f>
        <v>0</v>
      </c>
      <c r="BA78" s="93">
        <f t="shared" si="99"/>
        <v>0</v>
      </c>
      <c r="BB78" s="93">
        <f>nSD*NseMeas!X78*AO78</f>
        <v>1.7016173654831894E-3</v>
      </c>
      <c r="BC78" s="93">
        <f t="shared" si="100"/>
        <v>1.0144898708076197E-5</v>
      </c>
      <c r="BD78" s="93">
        <f>nSD*NseMeas!X78*AP78</f>
        <v>0.45096991767149286</v>
      </c>
      <c r="BE78" s="93">
        <f t="shared" si="101"/>
        <v>2.6878157133072068E-3</v>
      </c>
      <c r="BF78" s="93">
        <f>nSD*NseMeas!X78*AR78</f>
        <v>1.340040969224663E-3</v>
      </c>
      <c r="BG78" s="93">
        <f t="shared" si="102"/>
        <v>7.9892128201410378E-6</v>
      </c>
      <c r="BH78" s="91">
        <f t="shared" si="103"/>
        <v>4.9264185675817682E-3</v>
      </c>
      <c r="BI78" s="93">
        <f t="shared" si="104"/>
        <v>2.9370825516253739E-5</v>
      </c>
    </row>
    <row r="79" spans="1:61">
      <c r="A79" s="91">
        <f t="shared" si="89"/>
        <v>26.500001000000001</v>
      </c>
      <c r="B79" s="92">
        <f>T_0*(1+10^('User Cal. Noise Std'!AA80/10))</f>
        <v>4886.1902581372296</v>
      </c>
      <c r="C79" s="92">
        <f t="shared" si="65"/>
        <v>296</v>
      </c>
      <c r="D79" s="93">
        <f t="shared" si="66"/>
        <v>296</v>
      </c>
      <c r="E79" s="92">
        <f>IF(UsePreamp,T_0*(10^(Preamp!AE80/10)-1),0)</f>
        <v>627.06052144883006</v>
      </c>
      <c r="F79" s="92">
        <f>T_0*(10^((FieldFox!B79-kT0dB)/10)-1)</f>
        <v>45411.676407373438</v>
      </c>
      <c r="G79" s="93">
        <f>IF(UsePreamp,10^(Preamp!AD80/10),1)</f>
        <v>199.06734581632566</v>
      </c>
      <c r="H79" s="94">
        <f t="shared" si="67"/>
        <v>5.6331571950785328E-8</v>
      </c>
      <c r="I79" s="94">
        <f t="shared" si="68"/>
        <v>1.1294847333807005E-8</v>
      </c>
      <c r="J79" s="94">
        <f t="shared" si="69"/>
        <v>2.2528134443143055E-9</v>
      </c>
      <c r="K79" s="95">
        <f t="shared" si="70"/>
        <v>627.06052144882983</v>
      </c>
      <c r="L79" s="93">
        <f t="shared" si="71"/>
        <v>199.06734581632574</v>
      </c>
      <c r="M79" s="94">
        <f t="shared" si="72"/>
        <v>6.1524142648784919E-9</v>
      </c>
      <c r="N79" s="94">
        <f t="shared" si="73"/>
        <v>6.1524142648784927E-9</v>
      </c>
      <c r="O79" s="94">
        <f t="shared" si="74"/>
        <v>4.7940933317912516E-8</v>
      </c>
      <c r="P79" s="91">
        <f t="shared" si="75"/>
        <v>1.0644853444746147</v>
      </c>
      <c r="Q79" s="94">
        <f t="shared" si="76"/>
        <v>6.4485344474614736E-2</v>
      </c>
      <c r="R79" s="94">
        <f t="shared" si="77"/>
        <v>6.3269898143890479E-13</v>
      </c>
      <c r="S79" s="91">
        <v>-1</v>
      </c>
      <c r="T79" s="93">
        <f>FieldFox!AD79</f>
        <v>5.5</v>
      </c>
      <c r="U79" s="93">
        <f>FieldFox!AC79</f>
        <v>3.3947007644769931</v>
      </c>
      <c r="V79" s="93">
        <f>FieldFox!AE79</f>
        <v>2.1052992355230069</v>
      </c>
      <c r="W79" s="94">
        <f t="shared" si="78"/>
        <v>1.8054045564434553E-4</v>
      </c>
      <c r="X79" s="94">
        <f t="shared" si="79"/>
        <v>2.2980270150499131E-4</v>
      </c>
      <c r="Y79" s="94">
        <f t="shared" si="80"/>
        <v>2.9180918829824546E-4</v>
      </c>
      <c r="Z79" s="91">
        <f>IF(UsePreamp,Preamp!AF80,FieldFox!D79)</f>
        <v>0.3981071705534972</v>
      </c>
      <c r="AA79" s="91">
        <f t="shared" si="81"/>
        <v>0.40853898265363492</v>
      </c>
      <c r="AB79" s="91">
        <f>'User Cal. Noise Std'!AC80</f>
        <v>0.22</v>
      </c>
      <c r="AC79" s="91">
        <f>'User Cal. Noise Std'!AD80</f>
        <v>0.12</v>
      </c>
      <c r="AD79" s="91">
        <f>IF(UsePreamp,Preamp!AH80,0)</f>
        <v>0</v>
      </c>
      <c r="AE79" s="91">
        <f>DUT!AG80</f>
        <v>0.31622776601683794</v>
      </c>
      <c r="AF79" s="94">
        <f t="shared" si="82"/>
        <v>3.4307783771473645E-9</v>
      </c>
      <c r="AG79" s="94">
        <f t="shared" si="83"/>
        <v>0</v>
      </c>
      <c r="AH79" s="91">
        <f t="shared" si="90"/>
        <v>3.4307783771473645E-9</v>
      </c>
      <c r="AI79" s="94">
        <f t="shared" si="84"/>
        <v>0</v>
      </c>
      <c r="AJ79" s="94">
        <f t="shared" si="85"/>
        <v>0</v>
      </c>
      <c r="AK79" s="91">
        <f t="shared" si="91"/>
        <v>0</v>
      </c>
      <c r="AL79" s="94">
        <f t="shared" si="86"/>
        <v>2.1706739078933333E-12</v>
      </c>
      <c r="AM79" s="94">
        <f t="shared" si="92"/>
        <v>0</v>
      </c>
      <c r="AN79" s="91">
        <f t="shared" si="93"/>
        <v>2.1706739078933333E-12</v>
      </c>
      <c r="AO79" s="94">
        <f t="shared" si="87"/>
        <v>8.3477229028665889E-13</v>
      </c>
      <c r="AP79" s="94">
        <f t="shared" si="94"/>
        <v>2.2123492546640751E-10</v>
      </c>
      <c r="AQ79" s="94">
        <f t="shared" si="95"/>
        <v>2.212365003585609E-10</v>
      </c>
      <c r="AR79" s="94">
        <f t="shared" si="88"/>
        <v>6.5739166257273206E-13</v>
      </c>
      <c r="AS79" s="94">
        <f>B79*(10^('User Cal. Noise Std'!AB80/(ENRconf*10))-1)*R79</f>
        <v>3.5797739252760619E-11</v>
      </c>
      <c r="AT79" s="91">
        <f t="shared" si="96"/>
        <v>2.2412543634207295E-10</v>
      </c>
      <c r="AU79" s="93">
        <f>NseMeas!H79</f>
        <v>438.4470651377784</v>
      </c>
      <c r="AV79" s="93">
        <f>nSD*NseMeas!X79*AT79</f>
        <v>0.45686199573683128</v>
      </c>
      <c r="AW79" s="93">
        <f t="shared" si="97"/>
        <v>2.7229219493682755E-3</v>
      </c>
      <c r="AX79" s="93">
        <f>nSD*NseMeas!X79*AL79</f>
        <v>4.4247472747378329E-3</v>
      </c>
      <c r="AY79" s="93">
        <f t="shared" si="98"/>
        <v>2.6379919433336028E-5</v>
      </c>
      <c r="AZ79" s="93">
        <f>nSD*NseMeas!X79*AM79</f>
        <v>0</v>
      </c>
      <c r="BA79" s="93">
        <f t="shared" si="99"/>
        <v>0</v>
      </c>
      <c r="BB79" s="93">
        <f>nSD*NseMeas!X79*AO79</f>
        <v>1.7016173654831894E-3</v>
      </c>
      <c r="BC79" s="93">
        <f t="shared" si="100"/>
        <v>1.0144898708076197E-5</v>
      </c>
      <c r="BD79" s="93">
        <f>nSD*NseMeas!X79*AP79</f>
        <v>0.45096991767149286</v>
      </c>
      <c r="BE79" s="93">
        <f t="shared" si="101"/>
        <v>2.6878157133072068E-3</v>
      </c>
      <c r="BF79" s="93">
        <f>nSD*NseMeas!X79*AR79</f>
        <v>1.340040969224663E-3</v>
      </c>
      <c r="BG79" s="93">
        <f t="shared" si="102"/>
        <v>7.9892128201410378E-6</v>
      </c>
      <c r="BH79" s="91">
        <f t="shared" si="103"/>
        <v>4.9264185675817682E-3</v>
      </c>
      <c r="BI79" s="93">
        <f t="shared" si="104"/>
        <v>2.9370825516253739E-5</v>
      </c>
    </row>
    <row r="80" spans="1:61">
      <c r="A80" s="91">
        <f t="shared" si="89"/>
        <v>26.500001000000001</v>
      </c>
      <c r="B80" s="92">
        <f>T_0*(1+10^('User Cal. Noise Std'!AA81/10))</f>
        <v>4886.1902581372296</v>
      </c>
      <c r="C80" s="92">
        <f t="shared" si="65"/>
        <v>296</v>
      </c>
      <c r="D80" s="93">
        <f t="shared" si="66"/>
        <v>296</v>
      </c>
      <c r="E80" s="92">
        <f>IF(UsePreamp,T_0*(10^(Preamp!AE81/10)-1),0)</f>
        <v>627.06052144883006</v>
      </c>
      <c r="F80" s="92">
        <f>T_0*(10^((FieldFox!B80-kT0dB)/10)-1)</f>
        <v>45411.676407373438</v>
      </c>
      <c r="G80" s="93">
        <f>IF(UsePreamp,10^(Preamp!AD81/10),1)</f>
        <v>199.06734581632566</v>
      </c>
      <c r="H80" s="94">
        <f t="shared" si="67"/>
        <v>5.6331571950785328E-8</v>
      </c>
      <c r="I80" s="94">
        <f t="shared" si="68"/>
        <v>1.1294847333807005E-8</v>
      </c>
      <c r="J80" s="94">
        <f t="shared" si="69"/>
        <v>2.2528134443143055E-9</v>
      </c>
      <c r="K80" s="95">
        <f t="shared" si="70"/>
        <v>627.06052144882983</v>
      </c>
      <c r="L80" s="93">
        <f t="shared" si="71"/>
        <v>199.06734581632574</v>
      </c>
      <c r="M80" s="94">
        <f t="shared" si="72"/>
        <v>6.1524142648784919E-9</v>
      </c>
      <c r="N80" s="94">
        <f t="shared" si="73"/>
        <v>6.1524142648784927E-9</v>
      </c>
      <c r="O80" s="94">
        <f t="shared" si="74"/>
        <v>4.7940933317912516E-8</v>
      </c>
      <c r="P80" s="91">
        <f t="shared" si="75"/>
        <v>1.0644853444746147</v>
      </c>
      <c r="Q80" s="94">
        <f t="shared" si="76"/>
        <v>6.4485344474614736E-2</v>
      </c>
      <c r="R80" s="94">
        <f t="shared" si="77"/>
        <v>6.3269898143890479E-13</v>
      </c>
      <c r="S80" s="91">
        <v>-1</v>
      </c>
      <c r="T80" s="93">
        <f>FieldFox!AD80</f>
        <v>5.5</v>
      </c>
      <c r="U80" s="93">
        <f>FieldFox!AC80</f>
        <v>3.3947007644769931</v>
      </c>
      <c r="V80" s="93">
        <f>FieldFox!AE80</f>
        <v>2.1052992355230069</v>
      </c>
      <c r="W80" s="94">
        <f t="shared" si="78"/>
        <v>1.8054045564434553E-4</v>
      </c>
      <c r="X80" s="94">
        <f t="shared" si="79"/>
        <v>2.2980270150499131E-4</v>
      </c>
      <c r="Y80" s="94">
        <f t="shared" si="80"/>
        <v>2.9180918829824546E-4</v>
      </c>
      <c r="Z80" s="91">
        <f>IF(UsePreamp,Preamp!AF81,FieldFox!D80)</f>
        <v>0.3981071705534972</v>
      </c>
      <c r="AA80" s="91">
        <f t="shared" si="81"/>
        <v>0.40853898265363492</v>
      </c>
      <c r="AB80" s="91">
        <f>'User Cal. Noise Std'!AC81</f>
        <v>0.22</v>
      </c>
      <c r="AC80" s="91">
        <f>'User Cal. Noise Std'!AD81</f>
        <v>0.12</v>
      </c>
      <c r="AD80" s="91">
        <f>IF(UsePreamp,Preamp!AH81,0)</f>
        <v>0</v>
      </c>
      <c r="AE80" s="91">
        <f>DUT!AG81</f>
        <v>0.31622776601683794</v>
      </c>
      <c r="AF80" s="94">
        <f t="shared" si="82"/>
        <v>3.4307783771473645E-9</v>
      </c>
      <c r="AG80" s="94">
        <f t="shared" si="83"/>
        <v>0</v>
      </c>
      <c r="AH80" s="91">
        <f t="shared" si="90"/>
        <v>3.4307783771473645E-9</v>
      </c>
      <c r="AI80" s="94">
        <f t="shared" si="84"/>
        <v>0</v>
      </c>
      <c r="AJ80" s="94">
        <f t="shared" si="85"/>
        <v>0</v>
      </c>
      <c r="AK80" s="91">
        <f t="shared" si="91"/>
        <v>0</v>
      </c>
      <c r="AL80" s="94">
        <f t="shared" si="86"/>
        <v>2.1706739078933333E-12</v>
      </c>
      <c r="AM80" s="94">
        <f t="shared" si="92"/>
        <v>0</v>
      </c>
      <c r="AN80" s="91">
        <f t="shared" si="93"/>
        <v>2.1706739078933333E-12</v>
      </c>
      <c r="AO80" s="94">
        <f t="shared" si="87"/>
        <v>8.3477229028665889E-13</v>
      </c>
      <c r="AP80" s="94">
        <f t="shared" si="94"/>
        <v>2.2123492546640751E-10</v>
      </c>
      <c r="AQ80" s="94">
        <f t="shared" si="95"/>
        <v>2.212365003585609E-10</v>
      </c>
      <c r="AR80" s="94">
        <f t="shared" si="88"/>
        <v>6.5739166257273206E-13</v>
      </c>
      <c r="AS80" s="94">
        <f>B80*(10^('User Cal. Noise Std'!AB81/(ENRconf*10))-1)*R80</f>
        <v>3.5797739252760619E-11</v>
      </c>
      <c r="AT80" s="91">
        <f t="shared" si="96"/>
        <v>2.2412543634207295E-10</v>
      </c>
      <c r="AU80" s="93">
        <f>NseMeas!H80</f>
        <v>438.4470651377784</v>
      </c>
      <c r="AV80" s="93">
        <f>nSD*NseMeas!X80*AT80</f>
        <v>0.45686199573683128</v>
      </c>
      <c r="AW80" s="93">
        <f t="shared" si="97"/>
        <v>2.7229219493682755E-3</v>
      </c>
      <c r="AX80" s="93">
        <f>nSD*NseMeas!X80*AL80</f>
        <v>4.4247472747378329E-3</v>
      </c>
      <c r="AY80" s="93">
        <f t="shared" si="98"/>
        <v>2.6379919433336028E-5</v>
      </c>
      <c r="AZ80" s="93">
        <f>nSD*NseMeas!X80*AM80</f>
        <v>0</v>
      </c>
      <c r="BA80" s="93">
        <f t="shared" si="99"/>
        <v>0</v>
      </c>
      <c r="BB80" s="93">
        <f>nSD*NseMeas!X80*AO80</f>
        <v>1.7016173654831894E-3</v>
      </c>
      <c r="BC80" s="93">
        <f t="shared" si="100"/>
        <v>1.0144898708076197E-5</v>
      </c>
      <c r="BD80" s="93">
        <f>nSD*NseMeas!X80*AP80</f>
        <v>0.45096991767149286</v>
      </c>
      <c r="BE80" s="93">
        <f t="shared" si="101"/>
        <v>2.6878157133072068E-3</v>
      </c>
      <c r="BF80" s="93">
        <f>nSD*NseMeas!X80*AR80</f>
        <v>1.340040969224663E-3</v>
      </c>
      <c r="BG80" s="93">
        <f t="shared" si="102"/>
        <v>7.9892128201410378E-6</v>
      </c>
      <c r="BH80" s="91">
        <f t="shared" si="103"/>
        <v>4.9264185675817682E-3</v>
      </c>
      <c r="BI80" s="93">
        <f t="shared" si="104"/>
        <v>2.9370825516253739E-5</v>
      </c>
    </row>
    <row r="81" spans="1:61">
      <c r="A81" s="91">
        <f t="shared" si="89"/>
        <v>26.500001000000001</v>
      </c>
      <c r="B81" s="92">
        <f>T_0*(1+10^('User Cal. Noise Std'!AA82/10))</f>
        <v>4886.1902581372296</v>
      </c>
      <c r="C81" s="92">
        <f t="shared" si="65"/>
        <v>296</v>
      </c>
      <c r="D81" s="93">
        <f t="shared" si="66"/>
        <v>296</v>
      </c>
      <c r="E81" s="92">
        <f>IF(UsePreamp,T_0*(10^(Preamp!AE82/10)-1),0)</f>
        <v>627.06052144883006</v>
      </c>
      <c r="F81" s="92">
        <f>T_0*(10^((FieldFox!B81-kT0dB)/10)-1)</f>
        <v>45411.676407373438</v>
      </c>
      <c r="G81" s="93">
        <f>IF(UsePreamp,10^(Preamp!AD82/10),1)</f>
        <v>199.06734581632566</v>
      </c>
      <c r="H81" s="94">
        <f t="shared" si="67"/>
        <v>5.6331571950785328E-8</v>
      </c>
      <c r="I81" s="94">
        <f t="shared" si="68"/>
        <v>1.1294847333807005E-8</v>
      </c>
      <c r="J81" s="94">
        <f t="shared" si="69"/>
        <v>2.2528134443143055E-9</v>
      </c>
      <c r="K81" s="95">
        <f t="shared" si="70"/>
        <v>627.06052144882983</v>
      </c>
      <c r="L81" s="93">
        <f t="shared" si="71"/>
        <v>199.06734581632574</v>
      </c>
      <c r="M81" s="94">
        <f t="shared" si="72"/>
        <v>6.1524142648784919E-9</v>
      </c>
      <c r="N81" s="94">
        <f t="shared" si="73"/>
        <v>6.1524142648784927E-9</v>
      </c>
      <c r="O81" s="94">
        <f t="shared" si="74"/>
        <v>4.7940933317912516E-8</v>
      </c>
      <c r="P81" s="91">
        <f t="shared" si="75"/>
        <v>1.0644853444746147</v>
      </c>
      <c r="Q81" s="94">
        <f t="shared" si="76"/>
        <v>6.4485344474614736E-2</v>
      </c>
      <c r="R81" s="94">
        <f t="shared" si="77"/>
        <v>6.3269898143890479E-13</v>
      </c>
      <c r="S81" s="91">
        <v>-1</v>
      </c>
      <c r="T81" s="93">
        <f>FieldFox!AD81</f>
        <v>5.5</v>
      </c>
      <c r="U81" s="93">
        <f>FieldFox!AC81</f>
        <v>3.3947007644769931</v>
      </c>
      <c r="V81" s="93">
        <f>FieldFox!AE81</f>
        <v>2.1052992355230069</v>
      </c>
      <c r="W81" s="94">
        <f t="shared" si="78"/>
        <v>1.8054045564434553E-4</v>
      </c>
      <c r="X81" s="94">
        <f t="shared" si="79"/>
        <v>2.2980270150499131E-4</v>
      </c>
      <c r="Y81" s="94">
        <f t="shared" si="80"/>
        <v>2.9180918829824546E-4</v>
      </c>
      <c r="Z81" s="91">
        <f>IF(UsePreamp,Preamp!AF82,FieldFox!D81)</f>
        <v>0.3981071705534972</v>
      </c>
      <c r="AA81" s="91">
        <f t="shared" si="81"/>
        <v>0.40853898265363492</v>
      </c>
      <c r="AB81" s="91">
        <f>'User Cal. Noise Std'!AC82</f>
        <v>0.22</v>
      </c>
      <c r="AC81" s="91">
        <f>'User Cal. Noise Std'!AD82</f>
        <v>0.12</v>
      </c>
      <c r="AD81" s="91">
        <f>IF(UsePreamp,Preamp!AH82,0)</f>
        <v>0</v>
      </c>
      <c r="AE81" s="91">
        <f>DUT!AG82</f>
        <v>0.31622776601683794</v>
      </c>
      <c r="AF81" s="94">
        <f t="shared" si="82"/>
        <v>3.4307783771473645E-9</v>
      </c>
      <c r="AG81" s="94">
        <f t="shared" si="83"/>
        <v>0</v>
      </c>
      <c r="AH81" s="91">
        <f t="shared" si="90"/>
        <v>3.4307783771473645E-9</v>
      </c>
      <c r="AI81" s="94">
        <f t="shared" si="84"/>
        <v>0</v>
      </c>
      <c r="AJ81" s="94">
        <f t="shared" si="85"/>
        <v>0</v>
      </c>
      <c r="AK81" s="91">
        <f t="shared" si="91"/>
        <v>0</v>
      </c>
      <c r="AL81" s="94">
        <f t="shared" si="86"/>
        <v>2.1706739078933333E-12</v>
      </c>
      <c r="AM81" s="94">
        <f t="shared" si="92"/>
        <v>0</v>
      </c>
      <c r="AN81" s="91">
        <f t="shared" si="93"/>
        <v>2.1706739078933333E-12</v>
      </c>
      <c r="AO81" s="94">
        <f t="shared" si="87"/>
        <v>8.3477229028665889E-13</v>
      </c>
      <c r="AP81" s="94">
        <f t="shared" si="94"/>
        <v>2.2123492546640751E-10</v>
      </c>
      <c r="AQ81" s="94">
        <f t="shared" si="95"/>
        <v>2.212365003585609E-10</v>
      </c>
      <c r="AR81" s="94">
        <f t="shared" si="88"/>
        <v>6.5739166257273206E-13</v>
      </c>
      <c r="AS81" s="94">
        <f>B81*(10^('User Cal. Noise Std'!AB82/(ENRconf*10))-1)*R81</f>
        <v>3.5797739252760619E-11</v>
      </c>
      <c r="AT81" s="91">
        <f t="shared" si="96"/>
        <v>2.2412543634207295E-10</v>
      </c>
      <c r="AU81" s="93">
        <f>NseMeas!H81</f>
        <v>438.4470651377784</v>
      </c>
      <c r="AV81" s="93">
        <f>nSD*NseMeas!X81*AT81</f>
        <v>0.45686199573683128</v>
      </c>
      <c r="AW81" s="93">
        <f t="shared" si="97"/>
        <v>2.7229219493682755E-3</v>
      </c>
      <c r="AX81" s="93">
        <f>nSD*NseMeas!X81*AL81</f>
        <v>4.4247472747378329E-3</v>
      </c>
      <c r="AY81" s="93">
        <f t="shared" si="98"/>
        <v>2.6379919433336028E-5</v>
      </c>
      <c r="AZ81" s="93">
        <f>nSD*NseMeas!X81*AM81</f>
        <v>0</v>
      </c>
      <c r="BA81" s="93">
        <f t="shared" si="99"/>
        <v>0</v>
      </c>
      <c r="BB81" s="93">
        <f>nSD*NseMeas!X81*AO81</f>
        <v>1.7016173654831894E-3</v>
      </c>
      <c r="BC81" s="93">
        <f t="shared" si="100"/>
        <v>1.0144898708076197E-5</v>
      </c>
      <c r="BD81" s="93">
        <f>nSD*NseMeas!X81*AP81</f>
        <v>0.45096991767149286</v>
      </c>
      <c r="BE81" s="93">
        <f t="shared" si="101"/>
        <v>2.6878157133072068E-3</v>
      </c>
      <c r="BF81" s="93">
        <f>nSD*NseMeas!X81*AR81</f>
        <v>1.340040969224663E-3</v>
      </c>
      <c r="BG81" s="93">
        <f t="shared" si="102"/>
        <v>7.9892128201410378E-6</v>
      </c>
      <c r="BH81" s="91">
        <f t="shared" si="103"/>
        <v>4.9264185675817682E-3</v>
      </c>
      <c r="BI81" s="93">
        <f t="shared" si="104"/>
        <v>2.9370825516253739E-5</v>
      </c>
    </row>
    <row r="82" spans="1:61">
      <c r="A82" s="91">
        <f t="shared" si="89"/>
        <v>26.500001000000001</v>
      </c>
      <c r="B82" s="92">
        <f>T_0*(1+10^('User Cal. Noise Std'!AA83/10))</f>
        <v>4886.1902581372296</v>
      </c>
      <c r="C82" s="92">
        <f t="shared" si="65"/>
        <v>296</v>
      </c>
      <c r="D82" s="93">
        <f t="shared" si="66"/>
        <v>296</v>
      </c>
      <c r="E82" s="92">
        <f>IF(UsePreamp,T_0*(10^(Preamp!AE83/10)-1),0)</f>
        <v>627.06052144883006</v>
      </c>
      <c r="F82" s="92">
        <f>T_0*(10^((FieldFox!B82-kT0dB)/10)-1)</f>
        <v>45411.676407373438</v>
      </c>
      <c r="G82" s="93">
        <f>IF(UsePreamp,10^(Preamp!AD83/10),1)</f>
        <v>199.06734581632566</v>
      </c>
      <c r="H82" s="94">
        <f t="shared" si="67"/>
        <v>5.6331571950785328E-8</v>
      </c>
      <c r="I82" s="94">
        <f t="shared" si="68"/>
        <v>1.1294847333807005E-8</v>
      </c>
      <c r="J82" s="94">
        <f t="shared" si="69"/>
        <v>2.2528134443143055E-9</v>
      </c>
      <c r="K82" s="95">
        <f t="shared" si="70"/>
        <v>627.06052144882983</v>
      </c>
      <c r="L82" s="93">
        <f t="shared" si="71"/>
        <v>199.06734581632574</v>
      </c>
      <c r="M82" s="94">
        <f t="shared" si="72"/>
        <v>6.1524142648784919E-9</v>
      </c>
      <c r="N82" s="94">
        <f t="shared" si="73"/>
        <v>6.1524142648784927E-9</v>
      </c>
      <c r="O82" s="94">
        <f t="shared" si="74"/>
        <v>4.7940933317912516E-8</v>
      </c>
      <c r="P82" s="91">
        <f t="shared" si="75"/>
        <v>1.0644853444746147</v>
      </c>
      <c r="Q82" s="94">
        <f t="shared" si="76"/>
        <v>6.4485344474614736E-2</v>
      </c>
      <c r="R82" s="94">
        <f t="shared" si="77"/>
        <v>6.3269898143890479E-13</v>
      </c>
      <c r="S82" s="91">
        <v>-1</v>
      </c>
      <c r="T82" s="93">
        <f>FieldFox!AD82</f>
        <v>5.5</v>
      </c>
      <c r="U82" s="93">
        <f>FieldFox!AC82</f>
        <v>3.3947007644769931</v>
      </c>
      <c r="V82" s="93">
        <f>FieldFox!AE82</f>
        <v>2.1052992355230069</v>
      </c>
      <c r="W82" s="94">
        <f t="shared" si="78"/>
        <v>1.8054045564434553E-4</v>
      </c>
      <c r="X82" s="94">
        <f t="shared" si="79"/>
        <v>2.2980270150499131E-4</v>
      </c>
      <c r="Y82" s="94">
        <f t="shared" si="80"/>
        <v>2.9180918829824546E-4</v>
      </c>
      <c r="Z82" s="91">
        <f>IF(UsePreamp,Preamp!AF83,FieldFox!D82)</f>
        <v>0.3981071705534972</v>
      </c>
      <c r="AA82" s="91">
        <f t="shared" si="81"/>
        <v>0.40853898265363492</v>
      </c>
      <c r="AB82" s="91">
        <f>'User Cal. Noise Std'!AC83</f>
        <v>0.22</v>
      </c>
      <c r="AC82" s="91">
        <f>'User Cal. Noise Std'!AD83</f>
        <v>0.12</v>
      </c>
      <c r="AD82" s="91">
        <f>IF(UsePreamp,Preamp!AH83,0)</f>
        <v>0</v>
      </c>
      <c r="AE82" s="91">
        <f>DUT!AG83</f>
        <v>0.31622776601683794</v>
      </c>
      <c r="AF82" s="94">
        <f t="shared" si="82"/>
        <v>3.4307783771473645E-9</v>
      </c>
      <c r="AG82" s="94">
        <f t="shared" si="83"/>
        <v>0</v>
      </c>
      <c r="AH82" s="91">
        <f t="shared" si="90"/>
        <v>3.4307783771473645E-9</v>
      </c>
      <c r="AI82" s="94">
        <f t="shared" si="84"/>
        <v>0</v>
      </c>
      <c r="AJ82" s="94">
        <f t="shared" si="85"/>
        <v>0</v>
      </c>
      <c r="AK82" s="91">
        <f t="shared" si="91"/>
        <v>0</v>
      </c>
      <c r="AL82" s="94">
        <f t="shared" si="86"/>
        <v>2.1706739078933333E-12</v>
      </c>
      <c r="AM82" s="94">
        <f t="shared" si="92"/>
        <v>0</v>
      </c>
      <c r="AN82" s="91">
        <f t="shared" si="93"/>
        <v>2.1706739078933333E-12</v>
      </c>
      <c r="AO82" s="94">
        <f t="shared" si="87"/>
        <v>8.3477229028665889E-13</v>
      </c>
      <c r="AP82" s="94">
        <f t="shared" si="94"/>
        <v>2.2123492546640751E-10</v>
      </c>
      <c r="AQ82" s="94">
        <f t="shared" si="95"/>
        <v>2.212365003585609E-10</v>
      </c>
      <c r="AR82" s="94">
        <f t="shared" si="88"/>
        <v>6.5739166257273206E-13</v>
      </c>
      <c r="AS82" s="94">
        <f>B82*(10^('User Cal. Noise Std'!AB83/(ENRconf*10))-1)*R82</f>
        <v>3.5797739252760619E-11</v>
      </c>
      <c r="AT82" s="91">
        <f t="shared" si="96"/>
        <v>2.2412543634207295E-10</v>
      </c>
      <c r="AU82" s="93">
        <f>NseMeas!H82</f>
        <v>438.4470651377784</v>
      </c>
      <c r="AV82" s="93">
        <f>nSD*NseMeas!X82*AT82</f>
        <v>0.45686199573683128</v>
      </c>
      <c r="AW82" s="93">
        <f t="shared" si="97"/>
        <v>2.7229219493682755E-3</v>
      </c>
      <c r="AX82" s="93">
        <f>nSD*NseMeas!X82*AL82</f>
        <v>4.4247472747378329E-3</v>
      </c>
      <c r="AY82" s="93">
        <f t="shared" si="98"/>
        <v>2.6379919433336028E-5</v>
      </c>
      <c r="AZ82" s="93">
        <f>nSD*NseMeas!X82*AM82</f>
        <v>0</v>
      </c>
      <c r="BA82" s="93">
        <f t="shared" si="99"/>
        <v>0</v>
      </c>
      <c r="BB82" s="93">
        <f>nSD*NseMeas!X82*AO82</f>
        <v>1.7016173654831894E-3</v>
      </c>
      <c r="BC82" s="93">
        <f t="shared" si="100"/>
        <v>1.0144898708076197E-5</v>
      </c>
      <c r="BD82" s="93">
        <f>nSD*NseMeas!X82*AP82</f>
        <v>0.45096991767149286</v>
      </c>
      <c r="BE82" s="93">
        <f t="shared" si="101"/>
        <v>2.6878157133072068E-3</v>
      </c>
      <c r="BF82" s="93">
        <f>nSD*NseMeas!X82*AR82</f>
        <v>1.340040969224663E-3</v>
      </c>
      <c r="BG82" s="93">
        <f t="shared" si="102"/>
        <v>7.9892128201410378E-6</v>
      </c>
      <c r="BH82" s="91">
        <f t="shared" si="103"/>
        <v>4.9264185675817682E-3</v>
      </c>
      <c r="BI82" s="93">
        <f t="shared" si="104"/>
        <v>2.9370825516253739E-5</v>
      </c>
    </row>
    <row r="83" spans="1:61">
      <c r="A83" s="91">
        <f t="shared" si="89"/>
        <v>26.500001000000001</v>
      </c>
      <c r="B83" s="92">
        <f>T_0*(1+10^('User Cal. Noise Std'!AA84/10))</f>
        <v>4886.1902581372296</v>
      </c>
      <c r="C83" s="92">
        <f t="shared" si="65"/>
        <v>296</v>
      </c>
      <c r="D83" s="93">
        <f t="shared" si="66"/>
        <v>296</v>
      </c>
      <c r="E83" s="92">
        <f>IF(UsePreamp,T_0*(10^(Preamp!AE84/10)-1),0)</f>
        <v>627.06052144883006</v>
      </c>
      <c r="F83" s="92">
        <f>T_0*(10^((FieldFox!B83-kT0dB)/10)-1)</f>
        <v>45411.676407373438</v>
      </c>
      <c r="G83" s="93">
        <f>IF(UsePreamp,10^(Preamp!AD84/10),1)</f>
        <v>199.06734581632566</v>
      </c>
      <c r="H83" s="94">
        <f t="shared" si="67"/>
        <v>5.6331571950785328E-8</v>
      </c>
      <c r="I83" s="94">
        <f t="shared" si="68"/>
        <v>1.1294847333807005E-8</v>
      </c>
      <c r="J83" s="94">
        <f t="shared" si="69"/>
        <v>2.2528134443143055E-9</v>
      </c>
      <c r="K83" s="95">
        <f t="shared" si="70"/>
        <v>627.06052144882983</v>
      </c>
      <c r="L83" s="93">
        <f t="shared" si="71"/>
        <v>199.06734581632574</v>
      </c>
      <c r="M83" s="94">
        <f t="shared" si="72"/>
        <v>6.1524142648784919E-9</v>
      </c>
      <c r="N83" s="94">
        <f t="shared" si="73"/>
        <v>6.1524142648784927E-9</v>
      </c>
      <c r="O83" s="94">
        <f t="shared" si="74"/>
        <v>4.7940933317912516E-8</v>
      </c>
      <c r="P83" s="91">
        <f t="shared" si="75"/>
        <v>1.0644853444746147</v>
      </c>
      <c r="Q83" s="94">
        <f t="shared" si="76"/>
        <v>6.4485344474614736E-2</v>
      </c>
      <c r="R83" s="94">
        <f t="shared" si="77"/>
        <v>6.3269898143890479E-13</v>
      </c>
      <c r="S83" s="91">
        <v>-1</v>
      </c>
      <c r="T83" s="93">
        <f>FieldFox!AD83</f>
        <v>5.5</v>
      </c>
      <c r="U83" s="93">
        <f>FieldFox!AC83</f>
        <v>3.3947007644769931</v>
      </c>
      <c r="V83" s="93">
        <f>FieldFox!AE83</f>
        <v>2.1052992355230069</v>
      </c>
      <c r="W83" s="94">
        <f t="shared" si="78"/>
        <v>1.8054045564434553E-4</v>
      </c>
      <c r="X83" s="94">
        <f t="shared" si="79"/>
        <v>2.2980270150499131E-4</v>
      </c>
      <c r="Y83" s="94">
        <f t="shared" si="80"/>
        <v>2.9180918829824546E-4</v>
      </c>
      <c r="Z83" s="91">
        <f>IF(UsePreamp,Preamp!AF84,FieldFox!D83)</f>
        <v>0.3981071705534972</v>
      </c>
      <c r="AA83" s="91">
        <f t="shared" si="81"/>
        <v>0.40853898265363492</v>
      </c>
      <c r="AB83" s="91">
        <f>'User Cal. Noise Std'!AC84</f>
        <v>0.22</v>
      </c>
      <c r="AC83" s="91">
        <f>'User Cal. Noise Std'!AD84</f>
        <v>0.12</v>
      </c>
      <c r="AD83" s="91">
        <f>IF(UsePreamp,Preamp!AH84,0)</f>
        <v>0</v>
      </c>
      <c r="AE83" s="91">
        <f>DUT!AG84</f>
        <v>0.31622776601683794</v>
      </c>
      <c r="AF83" s="94">
        <f t="shared" si="82"/>
        <v>3.4307783771473645E-9</v>
      </c>
      <c r="AG83" s="94">
        <f t="shared" si="83"/>
        <v>0</v>
      </c>
      <c r="AH83" s="91">
        <f t="shared" si="90"/>
        <v>3.4307783771473645E-9</v>
      </c>
      <c r="AI83" s="94">
        <f t="shared" si="84"/>
        <v>0</v>
      </c>
      <c r="AJ83" s="94">
        <f t="shared" si="85"/>
        <v>0</v>
      </c>
      <c r="AK83" s="91">
        <f t="shared" si="91"/>
        <v>0</v>
      </c>
      <c r="AL83" s="94">
        <f t="shared" si="86"/>
        <v>2.1706739078933333E-12</v>
      </c>
      <c r="AM83" s="94">
        <f t="shared" si="92"/>
        <v>0</v>
      </c>
      <c r="AN83" s="91">
        <f t="shared" si="93"/>
        <v>2.1706739078933333E-12</v>
      </c>
      <c r="AO83" s="94">
        <f t="shared" si="87"/>
        <v>8.3477229028665889E-13</v>
      </c>
      <c r="AP83" s="94">
        <f t="shared" si="94"/>
        <v>2.2123492546640751E-10</v>
      </c>
      <c r="AQ83" s="94">
        <f t="shared" si="95"/>
        <v>2.212365003585609E-10</v>
      </c>
      <c r="AR83" s="94">
        <f t="shared" si="88"/>
        <v>6.5739166257273206E-13</v>
      </c>
      <c r="AS83" s="94">
        <f>B83*(10^('User Cal. Noise Std'!AB84/(ENRconf*10))-1)*R83</f>
        <v>3.5797739252760619E-11</v>
      </c>
      <c r="AT83" s="91">
        <f t="shared" si="96"/>
        <v>2.2412543634207295E-10</v>
      </c>
      <c r="AU83" s="93">
        <f>NseMeas!H83</f>
        <v>438.4470651377784</v>
      </c>
      <c r="AV83" s="93">
        <f>nSD*NseMeas!X83*AT83</f>
        <v>0.45686199573683128</v>
      </c>
      <c r="AW83" s="93">
        <f t="shared" si="97"/>
        <v>2.7229219493682755E-3</v>
      </c>
      <c r="AX83" s="93">
        <f>nSD*NseMeas!X83*AL83</f>
        <v>4.4247472747378329E-3</v>
      </c>
      <c r="AY83" s="93">
        <f t="shared" si="98"/>
        <v>2.6379919433336028E-5</v>
      </c>
      <c r="AZ83" s="93">
        <f>nSD*NseMeas!X83*AM83</f>
        <v>0</v>
      </c>
      <c r="BA83" s="93">
        <f t="shared" si="99"/>
        <v>0</v>
      </c>
      <c r="BB83" s="93">
        <f>nSD*NseMeas!X83*AO83</f>
        <v>1.7016173654831894E-3</v>
      </c>
      <c r="BC83" s="93">
        <f t="shared" si="100"/>
        <v>1.0144898708076197E-5</v>
      </c>
      <c r="BD83" s="93">
        <f>nSD*NseMeas!X83*AP83</f>
        <v>0.45096991767149286</v>
      </c>
      <c r="BE83" s="93">
        <f t="shared" si="101"/>
        <v>2.6878157133072068E-3</v>
      </c>
      <c r="BF83" s="93">
        <f>nSD*NseMeas!X83*AR83</f>
        <v>1.340040969224663E-3</v>
      </c>
      <c r="BG83" s="93">
        <f t="shared" si="102"/>
        <v>7.9892128201410378E-6</v>
      </c>
      <c r="BH83" s="91">
        <f t="shared" si="103"/>
        <v>4.9264185675817682E-3</v>
      </c>
      <c r="BI83" s="93">
        <f t="shared" si="104"/>
        <v>2.9370825516253739E-5</v>
      </c>
    </row>
    <row r="84" spans="1:61">
      <c r="A84" s="91">
        <f t="shared" si="89"/>
        <v>26.500001000000001</v>
      </c>
      <c r="B84" s="92">
        <f>T_0*(1+10^('User Cal. Noise Std'!AA85/10))</f>
        <v>4886.1902581372296</v>
      </c>
      <c r="C84" s="92">
        <f t="shared" si="65"/>
        <v>296</v>
      </c>
      <c r="D84" s="93">
        <f t="shared" si="66"/>
        <v>296</v>
      </c>
      <c r="E84" s="92">
        <f>IF(UsePreamp,T_0*(10^(Preamp!AE85/10)-1),0)</f>
        <v>627.06052144883006</v>
      </c>
      <c r="F84" s="92">
        <f>T_0*(10^((FieldFox!B84-kT0dB)/10)-1)</f>
        <v>45411.676407373438</v>
      </c>
      <c r="G84" s="93">
        <f>IF(UsePreamp,10^(Preamp!AD85/10),1)</f>
        <v>199.06734581632566</v>
      </c>
      <c r="H84" s="94">
        <f t="shared" si="67"/>
        <v>5.6331571950785328E-8</v>
      </c>
      <c r="I84" s="94">
        <f t="shared" si="68"/>
        <v>1.1294847333807005E-8</v>
      </c>
      <c r="J84" s="94">
        <f t="shared" si="69"/>
        <v>2.2528134443143055E-9</v>
      </c>
      <c r="K84" s="95">
        <f t="shared" si="70"/>
        <v>627.06052144882983</v>
      </c>
      <c r="L84" s="93">
        <f t="shared" si="71"/>
        <v>199.06734581632574</v>
      </c>
      <c r="M84" s="94">
        <f t="shared" si="72"/>
        <v>6.1524142648784919E-9</v>
      </c>
      <c r="N84" s="94">
        <f t="shared" si="73"/>
        <v>6.1524142648784927E-9</v>
      </c>
      <c r="O84" s="94">
        <f t="shared" si="74"/>
        <v>4.7940933317912516E-8</v>
      </c>
      <c r="P84" s="91">
        <f t="shared" si="75"/>
        <v>1.0644853444746147</v>
      </c>
      <c r="Q84" s="94">
        <f t="shared" si="76"/>
        <v>6.4485344474614736E-2</v>
      </c>
      <c r="R84" s="94">
        <f t="shared" si="77"/>
        <v>6.3269898143890479E-13</v>
      </c>
      <c r="S84" s="91">
        <v>-1</v>
      </c>
      <c r="T84" s="93">
        <f>FieldFox!AD84</f>
        <v>5.5</v>
      </c>
      <c r="U84" s="93">
        <f>FieldFox!AC84</f>
        <v>3.3947007644769931</v>
      </c>
      <c r="V84" s="93">
        <f>FieldFox!AE84</f>
        <v>2.1052992355230069</v>
      </c>
      <c r="W84" s="94">
        <f t="shared" si="78"/>
        <v>1.8054045564434553E-4</v>
      </c>
      <c r="X84" s="94">
        <f t="shared" si="79"/>
        <v>2.2980270150499131E-4</v>
      </c>
      <c r="Y84" s="94">
        <f t="shared" si="80"/>
        <v>2.9180918829824546E-4</v>
      </c>
      <c r="Z84" s="91">
        <f>IF(UsePreamp,Preamp!AF85,FieldFox!D84)</f>
        <v>0.3981071705534972</v>
      </c>
      <c r="AA84" s="91">
        <f t="shared" si="81"/>
        <v>0.40853898265363492</v>
      </c>
      <c r="AB84" s="91">
        <f>'User Cal. Noise Std'!AC85</f>
        <v>0.22</v>
      </c>
      <c r="AC84" s="91">
        <f>'User Cal. Noise Std'!AD85</f>
        <v>0.12</v>
      </c>
      <c r="AD84" s="91">
        <f>IF(UsePreamp,Preamp!AH85,0)</f>
        <v>0</v>
      </c>
      <c r="AE84" s="91">
        <f>DUT!AG85</f>
        <v>0.31622776601683794</v>
      </c>
      <c r="AF84" s="94">
        <f t="shared" si="82"/>
        <v>3.4307783771473645E-9</v>
      </c>
      <c r="AG84" s="94">
        <f t="shared" si="83"/>
        <v>0</v>
      </c>
      <c r="AH84" s="91">
        <f t="shared" si="90"/>
        <v>3.4307783771473645E-9</v>
      </c>
      <c r="AI84" s="94">
        <f t="shared" si="84"/>
        <v>0</v>
      </c>
      <c r="AJ84" s="94">
        <f t="shared" si="85"/>
        <v>0</v>
      </c>
      <c r="AK84" s="91">
        <f t="shared" si="91"/>
        <v>0</v>
      </c>
      <c r="AL84" s="94">
        <f t="shared" si="86"/>
        <v>2.1706739078933333E-12</v>
      </c>
      <c r="AM84" s="94">
        <f t="shared" si="92"/>
        <v>0</v>
      </c>
      <c r="AN84" s="91">
        <f t="shared" si="93"/>
        <v>2.1706739078933333E-12</v>
      </c>
      <c r="AO84" s="94">
        <f t="shared" si="87"/>
        <v>8.3477229028665889E-13</v>
      </c>
      <c r="AP84" s="94">
        <f t="shared" si="94"/>
        <v>2.2123492546640751E-10</v>
      </c>
      <c r="AQ84" s="94">
        <f t="shared" si="95"/>
        <v>2.212365003585609E-10</v>
      </c>
      <c r="AR84" s="94">
        <f t="shared" si="88"/>
        <v>6.5739166257273206E-13</v>
      </c>
      <c r="AS84" s="94">
        <f>B84*(10^('User Cal. Noise Std'!AB85/(ENRconf*10))-1)*R84</f>
        <v>3.5797739252760619E-11</v>
      </c>
      <c r="AT84" s="91">
        <f t="shared" si="96"/>
        <v>2.2412543634207295E-10</v>
      </c>
      <c r="AU84" s="93">
        <f>NseMeas!H84</f>
        <v>438.4470651377784</v>
      </c>
      <c r="AV84" s="93">
        <f>nSD*NseMeas!X84*AT84</f>
        <v>0.45686199573683128</v>
      </c>
      <c r="AW84" s="93">
        <f t="shared" si="97"/>
        <v>2.7229219493682755E-3</v>
      </c>
      <c r="AX84" s="93">
        <f>nSD*NseMeas!X84*AL84</f>
        <v>4.4247472747378329E-3</v>
      </c>
      <c r="AY84" s="93">
        <f t="shared" si="98"/>
        <v>2.6379919433336028E-5</v>
      </c>
      <c r="AZ84" s="93">
        <f>nSD*NseMeas!X84*AM84</f>
        <v>0</v>
      </c>
      <c r="BA84" s="93">
        <f t="shared" si="99"/>
        <v>0</v>
      </c>
      <c r="BB84" s="93">
        <f>nSD*NseMeas!X84*AO84</f>
        <v>1.7016173654831894E-3</v>
      </c>
      <c r="BC84" s="93">
        <f t="shared" si="100"/>
        <v>1.0144898708076197E-5</v>
      </c>
      <c r="BD84" s="93">
        <f>nSD*NseMeas!X84*AP84</f>
        <v>0.45096991767149286</v>
      </c>
      <c r="BE84" s="93">
        <f t="shared" si="101"/>
        <v>2.6878157133072068E-3</v>
      </c>
      <c r="BF84" s="93">
        <f>nSD*NseMeas!X84*AR84</f>
        <v>1.340040969224663E-3</v>
      </c>
      <c r="BG84" s="93">
        <f t="shared" si="102"/>
        <v>7.9892128201410378E-6</v>
      </c>
      <c r="BH84" s="91">
        <f t="shared" si="103"/>
        <v>4.9264185675817682E-3</v>
      </c>
      <c r="BI84" s="93">
        <f t="shared" si="104"/>
        <v>2.9370825516253739E-5</v>
      </c>
    </row>
    <row r="85" spans="1:61">
      <c r="A85" s="91">
        <f t="shared" si="89"/>
        <v>26.500001000000001</v>
      </c>
      <c r="B85" s="92">
        <f>T_0*(1+10^('User Cal. Noise Std'!AA86/10))</f>
        <v>4886.1902581372296</v>
      </c>
      <c r="C85" s="92">
        <f t="shared" si="65"/>
        <v>296</v>
      </c>
      <c r="D85" s="93">
        <f t="shared" si="66"/>
        <v>296</v>
      </c>
      <c r="E85" s="92">
        <f>IF(UsePreamp,T_0*(10^(Preamp!AE86/10)-1),0)</f>
        <v>627.06052144883006</v>
      </c>
      <c r="F85" s="92">
        <f>T_0*(10^((FieldFox!B85-kT0dB)/10)-1)</f>
        <v>45411.676407373438</v>
      </c>
      <c r="G85" s="93">
        <f>IF(UsePreamp,10^(Preamp!AD86/10),1)</f>
        <v>199.06734581632566</v>
      </c>
      <c r="H85" s="94">
        <f t="shared" si="67"/>
        <v>5.6331571950785328E-8</v>
      </c>
      <c r="I85" s="94">
        <f t="shared" si="68"/>
        <v>1.1294847333807005E-8</v>
      </c>
      <c r="J85" s="94">
        <f t="shared" si="69"/>
        <v>2.2528134443143055E-9</v>
      </c>
      <c r="K85" s="95">
        <f t="shared" si="70"/>
        <v>627.06052144882983</v>
      </c>
      <c r="L85" s="93">
        <f t="shared" si="71"/>
        <v>199.06734581632574</v>
      </c>
      <c r="M85" s="94">
        <f t="shared" si="72"/>
        <v>6.1524142648784919E-9</v>
      </c>
      <c r="N85" s="94">
        <f t="shared" si="73"/>
        <v>6.1524142648784927E-9</v>
      </c>
      <c r="O85" s="94">
        <f t="shared" si="74"/>
        <v>4.7940933317912516E-8</v>
      </c>
      <c r="P85" s="91">
        <f t="shared" si="75"/>
        <v>1.0644853444746147</v>
      </c>
      <c r="Q85" s="94">
        <f t="shared" si="76"/>
        <v>6.4485344474614736E-2</v>
      </c>
      <c r="R85" s="94">
        <f t="shared" si="77"/>
        <v>6.3269898143890479E-13</v>
      </c>
      <c r="S85" s="91">
        <v>-1</v>
      </c>
      <c r="T85" s="93">
        <f>FieldFox!AD85</f>
        <v>5.5</v>
      </c>
      <c r="U85" s="93">
        <f>FieldFox!AC85</f>
        <v>3.3947007644769931</v>
      </c>
      <c r="V85" s="93">
        <f>FieldFox!AE85</f>
        <v>2.1052992355230069</v>
      </c>
      <c r="W85" s="94">
        <f t="shared" si="78"/>
        <v>1.8054045564434553E-4</v>
      </c>
      <c r="X85" s="94">
        <f t="shared" si="79"/>
        <v>2.2980270150499131E-4</v>
      </c>
      <c r="Y85" s="94">
        <f t="shared" si="80"/>
        <v>2.9180918829824546E-4</v>
      </c>
      <c r="Z85" s="91">
        <f>IF(UsePreamp,Preamp!AF86,FieldFox!D85)</f>
        <v>0.3981071705534972</v>
      </c>
      <c r="AA85" s="91">
        <f t="shared" si="81"/>
        <v>0.40853898265363492</v>
      </c>
      <c r="AB85" s="91">
        <f>'User Cal. Noise Std'!AC86</f>
        <v>0.22</v>
      </c>
      <c r="AC85" s="91">
        <f>'User Cal. Noise Std'!AD86</f>
        <v>0.12</v>
      </c>
      <c r="AD85" s="91">
        <f>IF(UsePreamp,Preamp!AH86,0)</f>
        <v>0</v>
      </c>
      <c r="AE85" s="91">
        <f>DUT!AG86</f>
        <v>0.31622776601683794</v>
      </c>
      <c r="AF85" s="94">
        <f t="shared" si="82"/>
        <v>3.4307783771473645E-9</v>
      </c>
      <c r="AG85" s="94">
        <f t="shared" si="83"/>
        <v>0</v>
      </c>
      <c r="AH85" s="91">
        <f t="shared" si="90"/>
        <v>3.4307783771473645E-9</v>
      </c>
      <c r="AI85" s="94">
        <f t="shared" si="84"/>
        <v>0</v>
      </c>
      <c r="AJ85" s="94">
        <f t="shared" si="85"/>
        <v>0</v>
      </c>
      <c r="AK85" s="91">
        <f t="shared" si="91"/>
        <v>0</v>
      </c>
      <c r="AL85" s="94">
        <f t="shared" si="86"/>
        <v>2.1706739078933333E-12</v>
      </c>
      <c r="AM85" s="94">
        <f t="shared" si="92"/>
        <v>0</v>
      </c>
      <c r="AN85" s="91">
        <f t="shared" si="93"/>
        <v>2.1706739078933333E-12</v>
      </c>
      <c r="AO85" s="94">
        <f t="shared" si="87"/>
        <v>8.3477229028665889E-13</v>
      </c>
      <c r="AP85" s="94">
        <f t="shared" si="94"/>
        <v>2.2123492546640751E-10</v>
      </c>
      <c r="AQ85" s="94">
        <f t="shared" si="95"/>
        <v>2.212365003585609E-10</v>
      </c>
      <c r="AR85" s="94">
        <f t="shared" si="88"/>
        <v>6.5739166257273206E-13</v>
      </c>
      <c r="AS85" s="94">
        <f>B85*(10^('User Cal. Noise Std'!AB86/(ENRconf*10))-1)*R85</f>
        <v>3.5797739252760619E-11</v>
      </c>
      <c r="AT85" s="91">
        <f t="shared" si="96"/>
        <v>2.2412543634207295E-10</v>
      </c>
      <c r="AU85" s="93">
        <f>NseMeas!H85</f>
        <v>438.4470651377784</v>
      </c>
      <c r="AV85" s="93">
        <f>nSD*NseMeas!X85*AT85</f>
        <v>0.45686199573683128</v>
      </c>
      <c r="AW85" s="93">
        <f t="shared" si="97"/>
        <v>2.7229219493682755E-3</v>
      </c>
      <c r="AX85" s="93">
        <f>nSD*NseMeas!X85*AL85</f>
        <v>4.4247472747378329E-3</v>
      </c>
      <c r="AY85" s="93">
        <f t="shared" si="98"/>
        <v>2.6379919433336028E-5</v>
      </c>
      <c r="AZ85" s="93">
        <f>nSD*NseMeas!X85*AM85</f>
        <v>0</v>
      </c>
      <c r="BA85" s="93">
        <f t="shared" si="99"/>
        <v>0</v>
      </c>
      <c r="BB85" s="93">
        <f>nSD*NseMeas!X85*AO85</f>
        <v>1.7016173654831894E-3</v>
      </c>
      <c r="BC85" s="93">
        <f t="shared" si="100"/>
        <v>1.0144898708076197E-5</v>
      </c>
      <c r="BD85" s="93">
        <f>nSD*NseMeas!X85*AP85</f>
        <v>0.45096991767149286</v>
      </c>
      <c r="BE85" s="93">
        <f t="shared" si="101"/>
        <v>2.6878157133072068E-3</v>
      </c>
      <c r="BF85" s="93">
        <f>nSD*NseMeas!X85*AR85</f>
        <v>1.340040969224663E-3</v>
      </c>
      <c r="BG85" s="93">
        <f t="shared" si="102"/>
        <v>7.9892128201410378E-6</v>
      </c>
      <c r="BH85" s="91">
        <f t="shared" si="103"/>
        <v>4.9264185675817682E-3</v>
      </c>
      <c r="BI85" s="93">
        <f t="shared" si="104"/>
        <v>2.9370825516253739E-5</v>
      </c>
    </row>
    <row r="86" spans="1:61">
      <c r="A86" s="91">
        <f t="shared" si="89"/>
        <v>26.500001000000001</v>
      </c>
      <c r="B86" s="92">
        <f>T_0*(1+10^('User Cal. Noise Std'!AA87/10))</f>
        <v>4886.1902581372296</v>
      </c>
      <c r="C86" s="92">
        <f t="shared" si="65"/>
        <v>296</v>
      </c>
      <c r="D86" s="93">
        <f t="shared" si="66"/>
        <v>296</v>
      </c>
      <c r="E86" s="92">
        <f>IF(UsePreamp,T_0*(10^(Preamp!AE87/10)-1),0)</f>
        <v>627.06052144883006</v>
      </c>
      <c r="F86" s="92">
        <f>T_0*(10^((FieldFox!B86-kT0dB)/10)-1)</f>
        <v>45411.676407373438</v>
      </c>
      <c r="G86" s="93">
        <f>IF(UsePreamp,10^(Preamp!AD87/10),1)</f>
        <v>199.06734581632566</v>
      </c>
      <c r="H86" s="94">
        <f t="shared" si="67"/>
        <v>5.6331571950785328E-8</v>
      </c>
      <c r="I86" s="94">
        <f t="shared" si="68"/>
        <v>1.1294847333807005E-8</v>
      </c>
      <c r="J86" s="94">
        <f t="shared" si="69"/>
        <v>2.2528134443143055E-9</v>
      </c>
      <c r="K86" s="95">
        <f t="shared" si="70"/>
        <v>627.06052144882983</v>
      </c>
      <c r="L86" s="93">
        <f t="shared" si="71"/>
        <v>199.06734581632574</v>
      </c>
      <c r="M86" s="94">
        <f t="shared" si="72"/>
        <v>6.1524142648784919E-9</v>
      </c>
      <c r="N86" s="94">
        <f t="shared" si="73"/>
        <v>6.1524142648784927E-9</v>
      </c>
      <c r="O86" s="94">
        <f t="shared" si="74"/>
        <v>4.7940933317912516E-8</v>
      </c>
      <c r="P86" s="91">
        <f t="shared" si="75"/>
        <v>1.0644853444746147</v>
      </c>
      <c r="Q86" s="94">
        <f t="shared" si="76"/>
        <v>6.4485344474614736E-2</v>
      </c>
      <c r="R86" s="94">
        <f t="shared" si="77"/>
        <v>6.3269898143890479E-13</v>
      </c>
      <c r="S86" s="91">
        <v>-1</v>
      </c>
      <c r="T86" s="93">
        <f>FieldFox!AD86</f>
        <v>5.5</v>
      </c>
      <c r="U86" s="93">
        <f>FieldFox!AC86</f>
        <v>3.3947007644769931</v>
      </c>
      <c r="V86" s="93">
        <f>FieldFox!AE86</f>
        <v>2.1052992355230069</v>
      </c>
      <c r="W86" s="94">
        <f t="shared" si="78"/>
        <v>1.8054045564434553E-4</v>
      </c>
      <c r="X86" s="94">
        <f t="shared" si="79"/>
        <v>2.2980270150499131E-4</v>
      </c>
      <c r="Y86" s="94">
        <f t="shared" si="80"/>
        <v>2.9180918829824546E-4</v>
      </c>
      <c r="Z86" s="91">
        <f>IF(UsePreamp,Preamp!AF87,FieldFox!D86)</f>
        <v>0.3981071705534972</v>
      </c>
      <c r="AA86" s="91">
        <f t="shared" si="81"/>
        <v>0.40853898265363492</v>
      </c>
      <c r="AB86" s="91">
        <f>'User Cal. Noise Std'!AC87</f>
        <v>0.22</v>
      </c>
      <c r="AC86" s="91">
        <f>'User Cal. Noise Std'!AD87</f>
        <v>0.12</v>
      </c>
      <c r="AD86" s="91">
        <f>IF(UsePreamp,Preamp!AH87,0)</f>
        <v>0</v>
      </c>
      <c r="AE86" s="91">
        <f>DUT!AG87</f>
        <v>0.31622776601683794</v>
      </c>
      <c r="AF86" s="94">
        <f t="shared" si="82"/>
        <v>3.4307783771473645E-9</v>
      </c>
      <c r="AG86" s="94">
        <f t="shared" si="83"/>
        <v>0</v>
      </c>
      <c r="AH86" s="91">
        <f t="shared" si="90"/>
        <v>3.4307783771473645E-9</v>
      </c>
      <c r="AI86" s="94">
        <f t="shared" si="84"/>
        <v>0</v>
      </c>
      <c r="AJ86" s="94">
        <f t="shared" si="85"/>
        <v>0</v>
      </c>
      <c r="AK86" s="91">
        <f t="shared" si="91"/>
        <v>0</v>
      </c>
      <c r="AL86" s="94">
        <f t="shared" si="86"/>
        <v>2.1706739078933333E-12</v>
      </c>
      <c r="AM86" s="94">
        <f t="shared" si="92"/>
        <v>0</v>
      </c>
      <c r="AN86" s="91">
        <f t="shared" si="93"/>
        <v>2.1706739078933333E-12</v>
      </c>
      <c r="AO86" s="94">
        <f t="shared" si="87"/>
        <v>8.3477229028665889E-13</v>
      </c>
      <c r="AP86" s="94">
        <f t="shared" si="94"/>
        <v>2.2123492546640751E-10</v>
      </c>
      <c r="AQ86" s="94">
        <f t="shared" si="95"/>
        <v>2.212365003585609E-10</v>
      </c>
      <c r="AR86" s="94">
        <f t="shared" si="88"/>
        <v>6.5739166257273206E-13</v>
      </c>
      <c r="AS86" s="94">
        <f>B86*(10^('User Cal. Noise Std'!AB87/(ENRconf*10))-1)*R86</f>
        <v>3.5797739252760619E-11</v>
      </c>
      <c r="AT86" s="91">
        <f t="shared" si="96"/>
        <v>2.2412543634207295E-10</v>
      </c>
      <c r="AU86" s="93">
        <f>NseMeas!H86</f>
        <v>438.4470651377784</v>
      </c>
      <c r="AV86" s="93">
        <f>nSD*NseMeas!X86*AT86</f>
        <v>0.45686199573683128</v>
      </c>
      <c r="AW86" s="93">
        <f t="shared" si="97"/>
        <v>2.7229219493682755E-3</v>
      </c>
      <c r="AX86" s="93">
        <f>nSD*NseMeas!X86*AL86</f>
        <v>4.4247472747378329E-3</v>
      </c>
      <c r="AY86" s="93">
        <f t="shared" si="98"/>
        <v>2.6379919433336028E-5</v>
      </c>
      <c r="AZ86" s="93">
        <f>nSD*NseMeas!X86*AM86</f>
        <v>0</v>
      </c>
      <c r="BA86" s="93">
        <f t="shared" si="99"/>
        <v>0</v>
      </c>
      <c r="BB86" s="93">
        <f>nSD*NseMeas!X86*AO86</f>
        <v>1.7016173654831894E-3</v>
      </c>
      <c r="BC86" s="93">
        <f t="shared" si="100"/>
        <v>1.0144898708076197E-5</v>
      </c>
      <c r="BD86" s="93">
        <f>nSD*NseMeas!X86*AP86</f>
        <v>0.45096991767149286</v>
      </c>
      <c r="BE86" s="93">
        <f t="shared" si="101"/>
        <v>2.6878157133072068E-3</v>
      </c>
      <c r="BF86" s="93">
        <f>nSD*NseMeas!X86*AR86</f>
        <v>1.340040969224663E-3</v>
      </c>
      <c r="BG86" s="93">
        <f t="shared" si="102"/>
        <v>7.9892128201410378E-6</v>
      </c>
      <c r="BH86" s="91">
        <f t="shared" si="103"/>
        <v>4.9264185675817682E-3</v>
      </c>
      <c r="BI86" s="93">
        <f t="shared" si="104"/>
        <v>2.9370825516253739E-5</v>
      </c>
    </row>
    <row r="87" spans="1:61">
      <c r="A87" s="91">
        <f t="shared" si="89"/>
        <v>26.500001000000001</v>
      </c>
      <c r="B87" s="92">
        <f>T_0*(1+10^('User Cal. Noise Std'!AA88/10))</f>
        <v>4886.1902581372296</v>
      </c>
      <c r="C87" s="92">
        <f t="shared" si="65"/>
        <v>296</v>
      </c>
      <c r="D87" s="93">
        <f t="shared" si="66"/>
        <v>296</v>
      </c>
      <c r="E87" s="92">
        <f>IF(UsePreamp,T_0*(10^(Preamp!AE88/10)-1),0)</f>
        <v>627.06052144883006</v>
      </c>
      <c r="F87" s="92">
        <f>T_0*(10^((FieldFox!B87-kT0dB)/10)-1)</f>
        <v>45411.676407373438</v>
      </c>
      <c r="G87" s="93">
        <f>IF(UsePreamp,10^(Preamp!AD88/10),1)</f>
        <v>199.06734581632566</v>
      </c>
      <c r="H87" s="94">
        <f t="shared" si="67"/>
        <v>5.6331571950785328E-8</v>
      </c>
      <c r="I87" s="94">
        <f t="shared" si="68"/>
        <v>1.1294847333807005E-8</v>
      </c>
      <c r="J87" s="94">
        <f t="shared" si="69"/>
        <v>2.2528134443143055E-9</v>
      </c>
      <c r="K87" s="95">
        <f t="shared" si="70"/>
        <v>627.06052144882983</v>
      </c>
      <c r="L87" s="93">
        <f t="shared" si="71"/>
        <v>199.06734581632574</v>
      </c>
      <c r="M87" s="94">
        <f t="shared" si="72"/>
        <v>6.1524142648784919E-9</v>
      </c>
      <c r="N87" s="94">
        <f t="shared" si="73"/>
        <v>6.1524142648784927E-9</v>
      </c>
      <c r="O87" s="94">
        <f t="shared" si="74"/>
        <v>4.7940933317912516E-8</v>
      </c>
      <c r="P87" s="91">
        <f t="shared" si="75"/>
        <v>1.0644853444746147</v>
      </c>
      <c r="Q87" s="94">
        <f t="shared" si="76"/>
        <v>6.4485344474614736E-2</v>
      </c>
      <c r="R87" s="94">
        <f t="shared" si="77"/>
        <v>6.3269898143890479E-13</v>
      </c>
      <c r="S87" s="91">
        <v>-1</v>
      </c>
      <c r="T87" s="93">
        <f>FieldFox!AD87</f>
        <v>5.5</v>
      </c>
      <c r="U87" s="93">
        <f>FieldFox!AC87</f>
        <v>3.3947007644769931</v>
      </c>
      <c r="V87" s="93">
        <f>FieldFox!AE87</f>
        <v>2.1052992355230069</v>
      </c>
      <c r="W87" s="94">
        <f t="shared" si="78"/>
        <v>1.8054045564434553E-4</v>
      </c>
      <c r="X87" s="94">
        <f t="shared" si="79"/>
        <v>2.2980270150499131E-4</v>
      </c>
      <c r="Y87" s="94">
        <f t="shared" si="80"/>
        <v>2.9180918829824546E-4</v>
      </c>
      <c r="Z87" s="91">
        <f>IF(UsePreamp,Preamp!AF88,FieldFox!D87)</f>
        <v>0.3981071705534972</v>
      </c>
      <c r="AA87" s="91">
        <f t="shared" si="81"/>
        <v>0.40853898265363492</v>
      </c>
      <c r="AB87" s="91">
        <f>'User Cal. Noise Std'!AC88</f>
        <v>0.22</v>
      </c>
      <c r="AC87" s="91">
        <f>'User Cal. Noise Std'!AD88</f>
        <v>0.12</v>
      </c>
      <c r="AD87" s="91">
        <f>IF(UsePreamp,Preamp!AH88,0)</f>
        <v>0</v>
      </c>
      <c r="AE87" s="91">
        <f>DUT!AG88</f>
        <v>0.31622776601683794</v>
      </c>
      <c r="AF87" s="94">
        <f t="shared" si="82"/>
        <v>3.4307783771473645E-9</v>
      </c>
      <c r="AG87" s="94">
        <f t="shared" si="83"/>
        <v>0</v>
      </c>
      <c r="AH87" s="91">
        <f t="shared" si="90"/>
        <v>3.4307783771473645E-9</v>
      </c>
      <c r="AI87" s="94">
        <f t="shared" si="84"/>
        <v>0</v>
      </c>
      <c r="AJ87" s="94">
        <f t="shared" si="85"/>
        <v>0</v>
      </c>
      <c r="AK87" s="91">
        <f t="shared" si="91"/>
        <v>0</v>
      </c>
      <c r="AL87" s="94">
        <f t="shared" si="86"/>
        <v>2.1706739078933333E-12</v>
      </c>
      <c r="AM87" s="94">
        <f t="shared" si="92"/>
        <v>0</v>
      </c>
      <c r="AN87" s="91">
        <f t="shared" si="93"/>
        <v>2.1706739078933333E-12</v>
      </c>
      <c r="AO87" s="94">
        <f t="shared" si="87"/>
        <v>8.3477229028665889E-13</v>
      </c>
      <c r="AP87" s="94">
        <f t="shared" si="94"/>
        <v>2.2123492546640751E-10</v>
      </c>
      <c r="AQ87" s="94">
        <f t="shared" si="95"/>
        <v>2.212365003585609E-10</v>
      </c>
      <c r="AR87" s="94">
        <f t="shared" si="88"/>
        <v>6.5739166257273206E-13</v>
      </c>
      <c r="AS87" s="94">
        <f>B87*(10^('User Cal. Noise Std'!AB88/(ENRconf*10))-1)*R87</f>
        <v>3.5797739252760619E-11</v>
      </c>
      <c r="AT87" s="91">
        <f t="shared" si="96"/>
        <v>2.2412543634207295E-10</v>
      </c>
      <c r="AU87" s="93">
        <f>NseMeas!H87</f>
        <v>438.4470651377784</v>
      </c>
      <c r="AV87" s="93">
        <f>nSD*NseMeas!X87*AT87</f>
        <v>0.45686199573683128</v>
      </c>
      <c r="AW87" s="93">
        <f t="shared" si="97"/>
        <v>2.7229219493682755E-3</v>
      </c>
      <c r="AX87" s="93">
        <f>nSD*NseMeas!X87*AL87</f>
        <v>4.4247472747378329E-3</v>
      </c>
      <c r="AY87" s="93">
        <f t="shared" si="98"/>
        <v>2.6379919433336028E-5</v>
      </c>
      <c r="AZ87" s="93">
        <f>nSD*NseMeas!X87*AM87</f>
        <v>0</v>
      </c>
      <c r="BA87" s="93">
        <f t="shared" si="99"/>
        <v>0</v>
      </c>
      <c r="BB87" s="93">
        <f>nSD*NseMeas!X87*AO87</f>
        <v>1.7016173654831894E-3</v>
      </c>
      <c r="BC87" s="93">
        <f t="shared" si="100"/>
        <v>1.0144898708076197E-5</v>
      </c>
      <c r="BD87" s="93">
        <f>nSD*NseMeas!X87*AP87</f>
        <v>0.45096991767149286</v>
      </c>
      <c r="BE87" s="93">
        <f t="shared" si="101"/>
        <v>2.6878157133072068E-3</v>
      </c>
      <c r="BF87" s="93">
        <f>nSD*NseMeas!X87*AR87</f>
        <v>1.340040969224663E-3</v>
      </c>
      <c r="BG87" s="93">
        <f t="shared" si="102"/>
        <v>7.9892128201410378E-6</v>
      </c>
      <c r="BH87" s="91">
        <f t="shared" si="103"/>
        <v>4.9264185675817682E-3</v>
      </c>
      <c r="BI87" s="93">
        <f t="shared" si="104"/>
        <v>2.9370825516253739E-5</v>
      </c>
    </row>
    <row r="88" spans="1:61">
      <c r="A88" s="91">
        <f t="shared" si="89"/>
        <v>26.500001000000001</v>
      </c>
      <c r="B88" s="92">
        <f>T_0*(1+10^('User Cal. Noise Std'!AA89/10))</f>
        <v>4886.1902581372296</v>
      </c>
      <c r="C88" s="92">
        <f t="shared" si="65"/>
        <v>296</v>
      </c>
      <c r="D88" s="93">
        <f t="shared" si="66"/>
        <v>296</v>
      </c>
      <c r="E88" s="92">
        <f>IF(UsePreamp,T_0*(10^(Preamp!AE89/10)-1),0)</f>
        <v>627.06052144883006</v>
      </c>
      <c r="F88" s="92">
        <f>T_0*(10^((FieldFox!B88-kT0dB)/10)-1)</f>
        <v>45411.676407373438</v>
      </c>
      <c r="G88" s="93">
        <f>IF(UsePreamp,10^(Preamp!AD89/10),1)</f>
        <v>199.06734581632566</v>
      </c>
      <c r="H88" s="94">
        <f t="shared" si="67"/>
        <v>5.6331571950785328E-8</v>
      </c>
      <c r="I88" s="94">
        <f t="shared" si="68"/>
        <v>1.1294847333807005E-8</v>
      </c>
      <c r="J88" s="94">
        <f t="shared" si="69"/>
        <v>2.2528134443143055E-9</v>
      </c>
      <c r="K88" s="95">
        <f t="shared" si="70"/>
        <v>627.06052144882983</v>
      </c>
      <c r="L88" s="93">
        <f t="shared" si="71"/>
        <v>199.06734581632574</v>
      </c>
      <c r="M88" s="94">
        <f t="shared" si="72"/>
        <v>6.1524142648784919E-9</v>
      </c>
      <c r="N88" s="94">
        <f t="shared" si="73"/>
        <v>6.1524142648784927E-9</v>
      </c>
      <c r="O88" s="94">
        <f t="shared" si="74"/>
        <v>4.7940933317912516E-8</v>
      </c>
      <c r="P88" s="91">
        <f t="shared" si="75"/>
        <v>1.0644853444746147</v>
      </c>
      <c r="Q88" s="94">
        <f t="shared" si="76"/>
        <v>6.4485344474614736E-2</v>
      </c>
      <c r="R88" s="94">
        <f t="shared" si="77"/>
        <v>6.3269898143890479E-13</v>
      </c>
      <c r="S88" s="91">
        <v>-1</v>
      </c>
      <c r="T88" s="93">
        <f>FieldFox!AD88</f>
        <v>5.5</v>
      </c>
      <c r="U88" s="93">
        <f>FieldFox!AC88</f>
        <v>3.3947007644769931</v>
      </c>
      <c r="V88" s="93">
        <f>FieldFox!AE88</f>
        <v>2.1052992355230069</v>
      </c>
      <c r="W88" s="94">
        <f t="shared" si="78"/>
        <v>1.8054045564434553E-4</v>
      </c>
      <c r="X88" s="94">
        <f t="shared" si="79"/>
        <v>2.2980270150499131E-4</v>
      </c>
      <c r="Y88" s="94">
        <f t="shared" si="80"/>
        <v>2.9180918829824546E-4</v>
      </c>
      <c r="Z88" s="91">
        <f>IF(UsePreamp,Preamp!AF89,FieldFox!D88)</f>
        <v>0.3981071705534972</v>
      </c>
      <c r="AA88" s="91">
        <f t="shared" si="81"/>
        <v>0.40853898265363492</v>
      </c>
      <c r="AB88" s="91">
        <f>'User Cal. Noise Std'!AC89</f>
        <v>0.22</v>
      </c>
      <c r="AC88" s="91">
        <f>'User Cal. Noise Std'!AD89</f>
        <v>0.12</v>
      </c>
      <c r="AD88" s="91">
        <f>IF(UsePreamp,Preamp!AH89,0)</f>
        <v>0</v>
      </c>
      <c r="AE88" s="91">
        <f>DUT!AG89</f>
        <v>0.31622776601683794</v>
      </c>
      <c r="AF88" s="94">
        <f t="shared" si="82"/>
        <v>3.4307783771473645E-9</v>
      </c>
      <c r="AG88" s="94">
        <f t="shared" si="83"/>
        <v>0</v>
      </c>
      <c r="AH88" s="91">
        <f t="shared" si="90"/>
        <v>3.4307783771473645E-9</v>
      </c>
      <c r="AI88" s="94">
        <f t="shared" si="84"/>
        <v>0</v>
      </c>
      <c r="AJ88" s="94">
        <f t="shared" si="85"/>
        <v>0</v>
      </c>
      <c r="AK88" s="91">
        <f t="shared" si="91"/>
        <v>0</v>
      </c>
      <c r="AL88" s="94">
        <f t="shared" si="86"/>
        <v>2.1706739078933333E-12</v>
      </c>
      <c r="AM88" s="94">
        <f t="shared" si="92"/>
        <v>0</v>
      </c>
      <c r="AN88" s="91">
        <f t="shared" si="93"/>
        <v>2.1706739078933333E-12</v>
      </c>
      <c r="AO88" s="94">
        <f t="shared" si="87"/>
        <v>8.3477229028665889E-13</v>
      </c>
      <c r="AP88" s="94">
        <f t="shared" si="94"/>
        <v>2.2123492546640751E-10</v>
      </c>
      <c r="AQ88" s="94">
        <f t="shared" si="95"/>
        <v>2.212365003585609E-10</v>
      </c>
      <c r="AR88" s="94">
        <f t="shared" si="88"/>
        <v>6.5739166257273206E-13</v>
      </c>
      <c r="AS88" s="94">
        <f>B88*(10^('User Cal. Noise Std'!AB89/(ENRconf*10))-1)*R88</f>
        <v>3.5797739252760619E-11</v>
      </c>
      <c r="AT88" s="91">
        <f t="shared" si="96"/>
        <v>2.2412543634207295E-10</v>
      </c>
      <c r="AU88" s="93">
        <f>NseMeas!H88</f>
        <v>438.4470651377784</v>
      </c>
      <c r="AV88" s="93">
        <f>nSD*NseMeas!X88*AT88</f>
        <v>0.45686199573683128</v>
      </c>
      <c r="AW88" s="93">
        <f t="shared" si="97"/>
        <v>2.7229219493682755E-3</v>
      </c>
      <c r="AX88" s="93">
        <f>nSD*NseMeas!X88*AL88</f>
        <v>4.4247472747378329E-3</v>
      </c>
      <c r="AY88" s="93">
        <f t="shared" si="98"/>
        <v>2.6379919433336028E-5</v>
      </c>
      <c r="AZ88" s="93">
        <f>nSD*NseMeas!X88*AM88</f>
        <v>0</v>
      </c>
      <c r="BA88" s="93">
        <f t="shared" si="99"/>
        <v>0</v>
      </c>
      <c r="BB88" s="93">
        <f>nSD*NseMeas!X88*AO88</f>
        <v>1.7016173654831894E-3</v>
      </c>
      <c r="BC88" s="93">
        <f t="shared" si="100"/>
        <v>1.0144898708076197E-5</v>
      </c>
      <c r="BD88" s="93">
        <f>nSD*NseMeas!X88*AP88</f>
        <v>0.45096991767149286</v>
      </c>
      <c r="BE88" s="93">
        <f t="shared" si="101"/>
        <v>2.6878157133072068E-3</v>
      </c>
      <c r="BF88" s="93">
        <f>nSD*NseMeas!X88*AR88</f>
        <v>1.340040969224663E-3</v>
      </c>
      <c r="BG88" s="93">
        <f t="shared" si="102"/>
        <v>7.9892128201410378E-6</v>
      </c>
      <c r="BH88" s="91">
        <f t="shared" si="103"/>
        <v>4.9264185675817682E-3</v>
      </c>
      <c r="BI88" s="93">
        <f t="shared" si="104"/>
        <v>2.9370825516253739E-5</v>
      </c>
    </row>
    <row r="89" spans="1:61">
      <c r="A89" s="91">
        <f t="shared" si="89"/>
        <v>26.500001000000001</v>
      </c>
      <c r="B89" s="92">
        <f>T_0*(1+10^('User Cal. Noise Std'!AA90/10))</f>
        <v>4886.1902581372296</v>
      </c>
      <c r="C89" s="92">
        <f t="shared" si="65"/>
        <v>296</v>
      </c>
      <c r="D89" s="93">
        <f t="shared" si="66"/>
        <v>296</v>
      </c>
      <c r="E89" s="92">
        <f>IF(UsePreamp,T_0*(10^(Preamp!AE90/10)-1),0)</f>
        <v>627.06052144883006</v>
      </c>
      <c r="F89" s="92">
        <f>T_0*(10^((FieldFox!B89-kT0dB)/10)-1)</f>
        <v>45411.676407373438</v>
      </c>
      <c r="G89" s="93">
        <f>IF(UsePreamp,10^(Preamp!AD90/10),1)</f>
        <v>199.06734581632566</v>
      </c>
      <c r="H89" s="94">
        <f t="shared" si="67"/>
        <v>5.6331571950785328E-8</v>
      </c>
      <c r="I89" s="94">
        <f t="shared" si="68"/>
        <v>1.1294847333807005E-8</v>
      </c>
      <c r="J89" s="94">
        <f t="shared" si="69"/>
        <v>2.2528134443143055E-9</v>
      </c>
      <c r="K89" s="95">
        <f t="shared" si="70"/>
        <v>627.06052144882983</v>
      </c>
      <c r="L89" s="93">
        <f t="shared" si="71"/>
        <v>199.06734581632574</v>
      </c>
      <c r="M89" s="94">
        <f t="shared" si="72"/>
        <v>6.1524142648784919E-9</v>
      </c>
      <c r="N89" s="94">
        <f t="shared" si="73"/>
        <v>6.1524142648784927E-9</v>
      </c>
      <c r="O89" s="94">
        <f t="shared" si="74"/>
        <v>4.7940933317912516E-8</v>
      </c>
      <c r="P89" s="91">
        <f t="shared" si="75"/>
        <v>1.0644853444746147</v>
      </c>
      <c r="Q89" s="94">
        <f t="shared" si="76"/>
        <v>6.4485344474614736E-2</v>
      </c>
      <c r="R89" s="94">
        <f t="shared" si="77"/>
        <v>6.3269898143890479E-13</v>
      </c>
      <c r="S89" s="91">
        <v>-1</v>
      </c>
      <c r="T89" s="93">
        <f>FieldFox!AD89</f>
        <v>5.5</v>
      </c>
      <c r="U89" s="93">
        <f>FieldFox!AC89</f>
        <v>3.3947007644769931</v>
      </c>
      <c r="V89" s="93">
        <f>FieldFox!AE89</f>
        <v>2.1052992355230069</v>
      </c>
      <c r="W89" s="94">
        <f t="shared" si="78"/>
        <v>1.8054045564434553E-4</v>
      </c>
      <c r="X89" s="94">
        <f t="shared" si="79"/>
        <v>2.2980270150499131E-4</v>
      </c>
      <c r="Y89" s="94">
        <f t="shared" si="80"/>
        <v>2.9180918829824546E-4</v>
      </c>
      <c r="Z89" s="91">
        <f>IF(UsePreamp,Preamp!AF90,FieldFox!D89)</f>
        <v>0.3981071705534972</v>
      </c>
      <c r="AA89" s="91">
        <f t="shared" si="81"/>
        <v>0.40853898265363492</v>
      </c>
      <c r="AB89" s="91">
        <f>'User Cal. Noise Std'!AC90</f>
        <v>0.22</v>
      </c>
      <c r="AC89" s="91">
        <f>'User Cal. Noise Std'!AD90</f>
        <v>0.12</v>
      </c>
      <c r="AD89" s="91">
        <f>IF(UsePreamp,Preamp!AH90,0)</f>
        <v>0</v>
      </c>
      <c r="AE89" s="91">
        <f>DUT!AG90</f>
        <v>0.31622776601683794</v>
      </c>
      <c r="AF89" s="94">
        <f t="shared" si="82"/>
        <v>3.4307783771473645E-9</v>
      </c>
      <c r="AG89" s="94">
        <f t="shared" si="83"/>
        <v>0</v>
      </c>
      <c r="AH89" s="91">
        <f t="shared" si="90"/>
        <v>3.4307783771473645E-9</v>
      </c>
      <c r="AI89" s="94">
        <f t="shared" si="84"/>
        <v>0</v>
      </c>
      <c r="AJ89" s="94">
        <f t="shared" si="85"/>
        <v>0</v>
      </c>
      <c r="AK89" s="91">
        <f t="shared" si="91"/>
        <v>0</v>
      </c>
      <c r="AL89" s="94">
        <f t="shared" si="86"/>
        <v>2.1706739078933333E-12</v>
      </c>
      <c r="AM89" s="94">
        <f t="shared" si="92"/>
        <v>0</v>
      </c>
      <c r="AN89" s="91">
        <f t="shared" si="93"/>
        <v>2.1706739078933333E-12</v>
      </c>
      <c r="AO89" s="94">
        <f t="shared" si="87"/>
        <v>8.3477229028665889E-13</v>
      </c>
      <c r="AP89" s="94">
        <f t="shared" si="94"/>
        <v>2.2123492546640751E-10</v>
      </c>
      <c r="AQ89" s="94">
        <f t="shared" si="95"/>
        <v>2.212365003585609E-10</v>
      </c>
      <c r="AR89" s="94">
        <f t="shared" si="88"/>
        <v>6.5739166257273206E-13</v>
      </c>
      <c r="AS89" s="94">
        <f>B89*(10^('User Cal. Noise Std'!AB90/(ENRconf*10))-1)*R89</f>
        <v>3.5797739252760619E-11</v>
      </c>
      <c r="AT89" s="91">
        <f t="shared" si="96"/>
        <v>2.2412543634207295E-10</v>
      </c>
      <c r="AU89" s="93">
        <f>NseMeas!H89</f>
        <v>438.4470651377784</v>
      </c>
      <c r="AV89" s="93">
        <f>nSD*NseMeas!X89*AT89</f>
        <v>0.45686199573683128</v>
      </c>
      <c r="AW89" s="93">
        <f t="shared" si="97"/>
        <v>2.7229219493682755E-3</v>
      </c>
      <c r="AX89" s="93">
        <f>nSD*NseMeas!X89*AL89</f>
        <v>4.4247472747378329E-3</v>
      </c>
      <c r="AY89" s="93">
        <f t="shared" si="98"/>
        <v>2.6379919433336028E-5</v>
      </c>
      <c r="AZ89" s="93">
        <f>nSD*NseMeas!X89*AM89</f>
        <v>0</v>
      </c>
      <c r="BA89" s="93">
        <f t="shared" si="99"/>
        <v>0</v>
      </c>
      <c r="BB89" s="93">
        <f>nSD*NseMeas!X89*AO89</f>
        <v>1.7016173654831894E-3</v>
      </c>
      <c r="BC89" s="93">
        <f t="shared" si="100"/>
        <v>1.0144898708076197E-5</v>
      </c>
      <c r="BD89" s="93">
        <f>nSD*NseMeas!X89*AP89</f>
        <v>0.45096991767149286</v>
      </c>
      <c r="BE89" s="93">
        <f t="shared" si="101"/>
        <v>2.6878157133072068E-3</v>
      </c>
      <c r="BF89" s="93">
        <f>nSD*NseMeas!X89*AR89</f>
        <v>1.340040969224663E-3</v>
      </c>
      <c r="BG89" s="93">
        <f t="shared" si="102"/>
        <v>7.9892128201410378E-6</v>
      </c>
      <c r="BH89" s="91">
        <f t="shared" si="103"/>
        <v>4.9264185675817682E-3</v>
      </c>
      <c r="BI89" s="93">
        <f t="shared" si="104"/>
        <v>2.9370825516253739E-5</v>
      </c>
    </row>
    <row r="90" spans="1:61">
      <c r="A90" s="91">
        <f t="shared" si="89"/>
        <v>26.500001000000001</v>
      </c>
      <c r="B90" s="92">
        <f>T_0*(1+10^('User Cal. Noise Std'!AA91/10))</f>
        <v>4886.1902581372296</v>
      </c>
      <c r="C90" s="92">
        <f t="shared" si="65"/>
        <v>296</v>
      </c>
      <c r="D90" s="93">
        <f t="shared" si="66"/>
        <v>296</v>
      </c>
      <c r="E90" s="92">
        <f>IF(UsePreamp,T_0*(10^(Preamp!AE91/10)-1),0)</f>
        <v>627.06052144883006</v>
      </c>
      <c r="F90" s="92">
        <f>T_0*(10^((FieldFox!B90-kT0dB)/10)-1)</f>
        <v>45411.676407373438</v>
      </c>
      <c r="G90" s="93">
        <f>IF(UsePreamp,10^(Preamp!AD91/10),1)</f>
        <v>199.06734581632566</v>
      </c>
      <c r="H90" s="94">
        <f t="shared" si="67"/>
        <v>5.6331571950785328E-8</v>
      </c>
      <c r="I90" s="94">
        <f t="shared" si="68"/>
        <v>1.1294847333807005E-8</v>
      </c>
      <c r="J90" s="94">
        <f t="shared" si="69"/>
        <v>2.2528134443143055E-9</v>
      </c>
      <c r="K90" s="95">
        <f t="shared" si="70"/>
        <v>627.06052144882983</v>
      </c>
      <c r="L90" s="93">
        <f t="shared" si="71"/>
        <v>199.06734581632574</v>
      </c>
      <c r="M90" s="94">
        <f t="shared" si="72"/>
        <v>6.1524142648784919E-9</v>
      </c>
      <c r="N90" s="94">
        <f t="shared" si="73"/>
        <v>6.1524142648784927E-9</v>
      </c>
      <c r="O90" s="94">
        <f t="shared" si="74"/>
        <v>4.7940933317912516E-8</v>
      </c>
      <c r="P90" s="91">
        <f t="shared" si="75"/>
        <v>1.0644853444746147</v>
      </c>
      <c r="Q90" s="94">
        <f t="shared" si="76"/>
        <v>6.4485344474614736E-2</v>
      </c>
      <c r="R90" s="94">
        <f t="shared" si="77"/>
        <v>6.3269898143890479E-13</v>
      </c>
      <c r="S90" s="91">
        <v>-1</v>
      </c>
      <c r="T90" s="93">
        <f>FieldFox!AD90</f>
        <v>5.5</v>
      </c>
      <c r="U90" s="93">
        <f>FieldFox!AC90</f>
        <v>3.3947007644769931</v>
      </c>
      <c r="V90" s="93">
        <f>FieldFox!AE90</f>
        <v>2.1052992355230069</v>
      </c>
      <c r="W90" s="94">
        <f t="shared" si="78"/>
        <v>1.8054045564434553E-4</v>
      </c>
      <c r="X90" s="94">
        <f t="shared" si="79"/>
        <v>2.2980270150499131E-4</v>
      </c>
      <c r="Y90" s="94">
        <f t="shared" si="80"/>
        <v>2.9180918829824546E-4</v>
      </c>
      <c r="Z90" s="91">
        <f>IF(UsePreamp,Preamp!AF91,FieldFox!D90)</f>
        <v>0.3981071705534972</v>
      </c>
      <c r="AA90" s="91">
        <f t="shared" si="81"/>
        <v>0.40853898265363492</v>
      </c>
      <c r="AB90" s="91">
        <f>'User Cal. Noise Std'!AC91</f>
        <v>0.22</v>
      </c>
      <c r="AC90" s="91">
        <f>'User Cal. Noise Std'!AD91</f>
        <v>0.12</v>
      </c>
      <c r="AD90" s="91">
        <f>IF(UsePreamp,Preamp!AH91,0)</f>
        <v>0</v>
      </c>
      <c r="AE90" s="91">
        <f>DUT!AG91</f>
        <v>0.31622776601683794</v>
      </c>
      <c r="AF90" s="94">
        <f t="shared" si="82"/>
        <v>3.4307783771473645E-9</v>
      </c>
      <c r="AG90" s="94">
        <f t="shared" si="83"/>
        <v>0</v>
      </c>
      <c r="AH90" s="91">
        <f t="shared" si="90"/>
        <v>3.4307783771473645E-9</v>
      </c>
      <c r="AI90" s="94">
        <f t="shared" si="84"/>
        <v>0</v>
      </c>
      <c r="AJ90" s="94">
        <f t="shared" si="85"/>
        <v>0</v>
      </c>
      <c r="AK90" s="91">
        <f t="shared" si="91"/>
        <v>0</v>
      </c>
      <c r="AL90" s="94">
        <f t="shared" si="86"/>
        <v>2.1706739078933333E-12</v>
      </c>
      <c r="AM90" s="94">
        <f t="shared" si="92"/>
        <v>0</v>
      </c>
      <c r="AN90" s="91">
        <f t="shared" si="93"/>
        <v>2.1706739078933333E-12</v>
      </c>
      <c r="AO90" s="94">
        <f t="shared" si="87"/>
        <v>8.3477229028665889E-13</v>
      </c>
      <c r="AP90" s="94">
        <f t="shared" si="94"/>
        <v>2.2123492546640751E-10</v>
      </c>
      <c r="AQ90" s="94">
        <f t="shared" si="95"/>
        <v>2.212365003585609E-10</v>
      </c>
      <c r="AR90" s="94">
        <f t="shared" si="88"/>
        <v>6.5739166257273206E-13</v>
      </c>
      <c r="AS90" s="94">
        <f>B90*(10^('User Cal. Noise Std'!AB91/(ENRconf*10))-1)*R90</f>
        <v>3.5797739252760619E-11</v>
      </c>
      <c r="AT90" s="91">
        <f t="shared" si="96"/>
        <v>2.2412543634207295E-10</v>
      </c>
      <c r="AU90" s="93">
        <f>NseMeas!H90</f>
        <v>438.4470651377784</v>
      </c>
      <c r="AV90" s="93">
        <f>nSD*NseMeas!X90*AT90</f>
        <v>0.45686199573683128</v>
      </c>
      <c r="AW90" s="93">
        <f t="shared" si="97"/>
        <v>2.7229219493682755E-3</v>
      </c>
      <c r="AX90" s="93">
        <f>nSD*NseMeas!X90*AL90</f>
        <v>4.4247472747378329E-3</v>
      </c>
      <c r="AY90" s="93">
        <f t="shared" si="98"/>
        <v>2.6379919433336028E-5</v>
      </c>
      <c r="AZ90" s="93">
        <f>nSD*NseMeas!X90*AM90</f>
        <v>0</v>
      </c>
      <c r="BA90" s="93">
        <f t="shared" si="99"/>
        <v>0</v>
      </c>
      <c r="BB90" s="93">
        <f>nSD*NseMeas!X90*AO90</f>
        <v>1.7016173654831894E-3</v>
      </c>
      <c r="BC90" s="93">
        <f t="shared" si="100"/>
        <v>1.0144898708076197E-5</v>
      </c>
      <c r="BD90" s="93">
        <f>nSD*NseMeas!X90*AP90</f>
        <v>0.45096991767149286</v>
      </c>
      <c r="BE90" s="93">
        <f t="shared" si="101"/>
        <v>2.6878157133072068E-3</v>
      </c>
      <c r="BF90" s="93">
        <f>nSD*NseMeas!X90*AR90</f>
        <v>1.340040969224663E-3</v>
      </c>
      <c r="BG90" s="93">
        <f t="shared" si="102"/>
        <v>7.9892128201410378E-6</v>
      </c>
      <c r="BH90" s="91">
        <f t="shared" si="103"/>
        <v>4.9264185675817682E-3</v>
      </c>
      <c r="BI90" s="93">
        <f t="shared" si="104"/>
        <v>2.9370825516253739E-5</v>
      </c>
    </row>
    <row r="91" spans="1:61">
      <c r="A91" s="91">
        <f t="shared" si="89"/>
        <v>26.500001000000001</v>
      </c>
      <c r="B91" s="92">
        <f>T_0*(1+10^('User Cal. Noise Std'!AA92/10))</f>
        <v>4886.1902581372296</v>
      </c>
      <c r="C91" s="92">
        <f t="shared" si="65"/>
        <v>296</v>
      </c>
      <c r="D91" s="93">
        <f t="shared" si="66"/>
        <v>296</v>
      </c>
      <c r="E91" s="92">
        <f>IF(UsePreamp,T_0*(10^(Preamp!AE92/10)-1),0)</f>
        <v>627.06052144883006</v>
      </c>
      <c r="F91" s="92">
        <f>T_0*(10^((FieldFox!B91-kT0dB)/10)-1)</f>
        <v>45411.676407373438</v>
      </c>
      <c r="G91" s="93">
        <f>IF(UsePreamp,10^(Preamp!AD92/10),1)</f>
        <v>199.06734581632566</v>
      </c>
      <c r="H91" s="94">
        <f t="shared" si="67"/>
        <v>5.6331571950785328E-8</v>
      </c>
      <c r="I91" s="94">
        <f t="shared" si="68"/>
        <v>1.1294847333807005E-8</v>
      </c>
      <c r="J91" s="94">
        <f t="shared" si="69"/>
        <v>2.2528134443143055E-9</v>
      </c>
      <c r="K91" s="95">
        <f t="shared" si="70"/>
        <v>627.06052144882983</v>
      </c>
      <c r="L91" s="93">
        <f t="shared" si="71"/>
        <v>199.06734581632574</v>
      </c>
      <c r="M91" s="94">
        <f t="shared" si="72"/>
        <v>6.1524142648784919E-9</v>
      </c>
      <c r="N91" s="94">
        <f t="shared" si="73"/>
        <v>6.1524142648784927E-9</v>
      </c>
      <c r="O91" s="94">
        <f t="shared" si="74"/>
        <v>4.7940933317912516E-8</v>
      </c>
      <c r="P91" s="91">
        <f t="shared" si="75"/>
        <v>1.0644853444746147</v>
      </c>
      <c r="Q91" s="94">
        <f t="shared" si="76"/>
        <v>6.4485344474614736E-2</v>
      </c>
      <c r="R91" s="94">
        <f t="shared" si="77"/>
        <v>6.3269898143890479E-13</v>
      </c>
      <c r="S91" s="91">
        <v>-1</v>
      </c>
      <c r="T91" s="93">
        <f>FieldFox!AD91</f>
        <v>5.5</v>
      </c>
      <c r="U91" s="93">
        <f>FieldFox!AC91</f>
        <v>3.3947007644769931</v>
      </c>
      <c r="V91" s="93">
        <f>FieldFox!AE91</f>
        <v>2.1052992355230069</v>
      </c>
      <c r="W91" s="94">
        <f t="shared" si="78"/>
        <v>1.8054045564434553E-4</v>
      </c>
      <c r="X91" s="94">
        <f t="shared" si="79"/>
        <v>2.2980270150499131E-4</v>
      </c>
      <c r="Y91" s="94">
        <f t="shared" si="80"/>
        <v>2.9180918829824546E-4</v>
      </c>
      <c r="Z91" s="91">
        <f>IF(UsePreamp,Preamp!AF92,FieldFox!D91)</f>
        <v>0.3981071705534972</v>
      </c>
      <c r="AA91" s="91">
        <f t="shared" si="81"/>
        <v>0.40853898265363492</v>
      </c>
      <c r="AB91" s="91">
        <f>'User Cal. Noise Std'!AC92</f>
        <v>0.22</v>
      </c>
      <c r="AC91" s="91">
        <f>'User Cal. Noise Std'!AD92</f>
        <v>0.12</v>
      </c>
      <c r="AD91" s="91">
        <f>IF(UsePreamp,Preamp!AH92,0)</f>
        <v>0</v>
      </c>
      <c r="AE91" s="91">
        <f>DUT!AG92</f>
        <v>0.31622776601683794</v>
      </c>
      <c r="AF91" s="94">
        <f t="shared" si="82"/>
        <v>3.4307783771473645E-9</v>
      </c>
      <c r="AG91" s="94">
        <f t="shared" si="83"/>
        <v>0</v>
      </c>
      <c r="AH91" s="91">
        <f t="shared" si="90"/>
        <v>3.4307783771473645E-9</v>
      </c>
      <c r="AI91" s="94">
        <f t="shared" si="84"/>
        <v>0</v>
      </c>
      <c r="AJ91" s="94">
        <f t="shared" si="85"/>
        <v>0</v>
      </c>
      <c r="AK91" s="91">
        <f t="shared" si="91"/>
        <v>0</v>
      </c>
      <c r="AL91" s="94">
        <f t="shared" si="86"/>
        <v>2.1706739078933333E-12</v>
      </c>
      <c r="AM91" s="94">
        <f t="shared" si="92"/>
        <v>0</v>
      </c>
      <c r="AN91" s="91">
        <f t="shared" si="93"/>
        <v>2.1706739078933333E-12</v>
      </c>
      <c r="AO91" s="94">
        <f t="shared" si="87"/>
        <v>8.3477229028665889E-13</v>
      </c>
      <c r="AP91" s="94">
        <f t="shared" si="94"/>
        <v>2.2123492546640751E-10</v>
      </c>
      <c r="AQ91" s="94">
        <f t="shared" si="95"/>
        <v>2.212365003585609E-10</v>
      </c>
      <c r="AR91" s="94">
        <f t="shared" si="88"/>
        <v>6.5739166257273206E-13</v>
      </c>
      <c r="AS91" s="94">
        <f>B91*(10^('User Cal. Noise Std'!AB92/(ENRconf*10))-1)*R91</f>
        <v>3.5797739252760619E-11</v>
      </c>
      <c r="AT91" s="91">
        <f t="shared" si="96"/>
        <v>2.2412543634207295E-10</v>
      </c>
      <c r="AU91" s="93">
        <f>NseMeas!H91</f>
        <v>438.4470651377784</v>
      </c>
      <c r="AV91" s="93">
        <f>nSD*NseMeas!X91*AT91</f>
        <v>0.45686199573683128</v>
      </c>
      <c r="AW91" s="93">
        <f t="shared" si="97"/>
        <v>2.7229219493682755E-3</v>
      </c>
      <c r="AX91" s="93">
        <f>nSD*NseMeas!X91*AL91</f>
        <v>4.4247472747378329E-3</v>
      </c>
      <c r="AY91" s="93">
        <f t="shared" si="98"/>
        <v>2.6379919433336028E-5</v>
      </c>
      <c r="AZ91" s="93">
        <f>nSD*NseMeas!X91*AM91</f>
        <v>0</v>
      </c>
      <c r="BA91" s="93">
        <f t="shared" si="99"/>
        <v>0</v>
      </c>
      <c r="BB91" s="93">
        <f>nSD*NseMeas!X91*AO91</f>
        <v>1.7016173654831894E-3</v>
      </c>
      <c r="BC91" s="93">
        <f t="shared" si="100"/>
        <v>1.0144898708076197E-5</v>
      </c>
      <c r="BD91" s="93">
        <f>nSD*NseMeas!X91*AP91</f>
        <v>0.45096991767149286</v>
      </c>
      <c r="BE91" s="93">
        <f t="shared" si="101"/>
        <v>2.6878157133072068E-3</v>
      </c>
      <c r="BF91" s="93">
        <f>nSD*NseMeas!X91*AR91</f>
        <v>1.340040969224663E-3</v>
      </c>
      <c r="BG91" s="93">
        <f t="shared" si="102"/>
        <v>7.9892128201410378E-6</v>
      </c>
      <c r="BH91" s="91">
        <f t="shared" si="103"/>
        <v>4.9264185675817682E-3</v>
      </c>
      <c r="BI91" s="93">
        <f t="shared" si="104"/>
        <v>2.9370825516253739E-5</v>
      </c>
    </row>
    <row r="92" spans="1:61">
      <c r="A92" s="91">
        <f t="shared" si="89"/>
        <v>26.500001000000001</v>
      </c>
      <c r="B92" s="92">
        <f>T_0*(1+10^('User Cal. Noise Std'!AA93/10))</f>
        <v>4886.1902581372296</v>
      </c>
      <c r="C92" s="92">
        <f t="shared" si="65"/>
        <v>296</v>
      </c>
      <c r="D92" s="93">
        <f t="shared" si="66"/>
        <v>296</v>
      </c>
      <c r="E92" s="92">
        <f>IF(UsePreamp,T_0*(10^(Preamp!AE93/10)-1),0)</f>
        <v>627.06052144883006</v>
      </c>
      <c r="F92" s="92">
        <f>T_0*(10^((FieldFox!B92-kT0dB)/10)-1)</f>
        <v>45411.676407373438</v>
      </c>
      <c r="G92" s="93">
        <f>IF(UsePreamp,10^(Preamp!AD93/10),1)</f>
        <v>199.06734581632566</v>
      </c>
      <c r="H92" s="94">
        <f t="shared" si="67"/>
        <v>5.6331571950785328E-8</v>
      </c>
      <c r="I92" s="94">
        <f t="shared" si="68"/>
        <v>1.1294847333807005E-8</v>
      </c>
      <c r="J92" s="94">
        <f t="shared" si="69"/>
        <v>2.2528134443143055E-9</v>
      </c>
      <c r="K92" s="95">
        <f t="shared" si="70"/>
        <v>627.06052144882983</v>
      </c>
      <c r="L92" s="93">
        <f t="shared" si="71"/>
        <v>199.06734581632574</v>
      </c>
      <c r="M92" s="94">
        <f t="shared" si="72"/>
        <v>6.1524142648784919E-9</v>
      </c>
      <c r="N92" s="94">
        <f t="shared" si="73"/>
        <v>6.1524142648784927E-9</v>
      </c>
      <c r="O92" s="94">
        <f t="shared" si="74"/>
        <v>4.7940933317912516E-8</v>
      </c>
      <c r="P92" s="91">
        <f t="shared" si="75"/>
        <v>1.0644853444746147</v>
      </c>
      <c r="Q92" s="94">
        <f t="shared" si="76"/>
        <v>6.4485344474614736E-2</v>
      </c>
      <c r="R92" s="94">
        <f t="shared" si="77"/>
        <v>6.3269898143890479E-13</v>
      </c>
      <c r="S92" s="91">
        <v>-1</v>
      </c>
      <c r="T92" s="93">
        <f>FieldFox!AD92</f>
        <v>5.5</v>
      </c>
      <c r="U92" s="93">
        <f>FieldFox!AC92</f>
        <v>3.3947007644769931</v>
      </c>
      <c r="V92" s="93">
        <f>FieldFox!AE92</f>
        <v>2.1052992355230069</v>
      </c>
      <c r="W92" s="94">
        <f t="shared" si="78"/>
        <v>1.8054045564434553E-4</v>
      </c>
      <c r="X92" s="94">
        <f t="shared" si="79"/>
        <v>2.2980270150499131E-4</v>
      </c>
      <c r="Y92" s="94">
        <f t="shared" si="80"/>
        <v>2.9180918829824546E-4</v>
      </c>
      <c r="Z92" s="91">
        <f>IF(UsePreamp,Preamp!AF93,FieldFox!D92)</f>
        <v>0.3981071705534972</v>
      </c>
      <c r="AA92" s="91">
        <f t="shared" si="81"/>
        <v>0.40853898265363492</v>
      </c>
      <c r="AB92" s="91">
        <f>'User Cal. Noise Std'!AC93</f>
        <v>0.22</v>
      </c>
      <c r="AC92" s="91">
        <f>'User Cal. Noise Std'!AD93</f>
        <v>0.12</v>
      </c>
      <c r="AD92" s="91">
        <f>IF(UsePreamp,Preamp!AH93,0)</f>
        <v>0</v>
      </c>
      <c r="AE92" s="91">
        <f>DUT!AG93</f>
        <v>0.31622776601683794</v>
      </c>
      <c r="AF92" s="94">
        <f t="shared" si="82"/>
        <v>3.4307783771473645E-9</v>
      </c>
      <c r="AG92" s="94">
        <f t="shared" si="83"/>
        <v>0</v>
      </c>
      <c r="AH92" s="91">
        <f t="shared" si="90"/>
        <v>3.4307783771473645E-9</v>
      </c>
      <c r="AI92" s="94">
        <f t="shared" si="84"/>
        <v>0</v>
      </c>
      <c r="AJ92" s="94">
        <f t="shared" si="85"/>
        <v>0</v>
      </c>
      <c r="AK92" s="91">
        <f t="shared" si="91"/>
        <v>0</v>
      </c>
      <c r="AL92" s="94">
        <f t="shared" si="86"/>
        <v>2.1706739078933333E-12</v>
      </c>
      <c r="AM92" s="94">
        <f t="shared" si="92"/>
        <v>0</v>
      </c>
      <c r="AN92" s="91">
        <f t="shared" si="93"/>
        <v>2.1706739078933333E-12</v>
      </c>
      <c r="AO92" s="94">
        <f t="shared" si="87"/>
        <v>8.3477229028665889E-13</v>
      </c>
      <c r="AP92" s="94">
        <f t="shared" si="94"/>
        <v>2.2123492546640751E-10</v>
      </c>
      <c r="AQ92" s="94">
        <f t="shared" si="95"/>
        <v>2.212365003585609E-10</v>
      </c>
      <c r="AR92" s="94">
        <f t="shared" si="88"/>
        <v>6.5739166257273206E-13</v>
      </c>
      <c r="AS92" s="94">
        <f>B92*(10^('User Cal. Noise Std'!AB93/(ENRconf*10))-1)*R92</f>
        <v>3.5797739252760619E-11</v>
      </c>
      <c r="AT92" s="91">
        <f t="shared" si="96"/>
        <v>2.2412543634207295E-10</v>
      </c>
      <c r="AU92" s="93">
        <f>NseMeas!H92</f>
        <v>438.4470651377784</v>
      </c>
      <c r="AV92" s="93">
        <f>nSD*NseMeas!X92*AT92</f>
        <v>0.45686199573683128</v>
      </c>
      <c r="AW92" s="93">
        <f t="shared" si="97"/>
        <v>2.7229219493682755E-3</v>
      </c>
      <c r="AX92" s="93">
        <f>nSD*NseMeas!X92*AL92</f>
        <v>4.4247472747378329E-3</v>
      </c>
      <c r="AY92" s="93">
        <f t="shared" si="98"/>
        <v>2.6379919433336028E-5</v>
      </c>
      <c r="AZ92" s="93">
        <f>nSD*NseMeas!X92*AM92</f>
        <v>0</v>
      </c>
      <c r="BA92" s="93">
        <f t="shared" si="99"/>
        <v>0</v>
      </c>
      <c r="BB92" s="93">
        <f>nSD*NseMeas!X92*AO92</f>
        <v>1.7016173654831894E-3</v>
      </c>
      <c r="BC92" s="93">
        <f t="shared" si="100"/>
        <v>1.0144898708076197E-5</v>
      </c>
      <c r="BD92" s="93">
        <f>nSD*NseMeas!X92*AP92</f>
        <v>0.45096991767149286</v>
      </c>
      <c r="BE92" s="93">
        <f t="shared" si="101"/>
        <v>2.6878157133072068E-3</v>
      </c>
      <c r="BF92" s="93">
        <f>nSD*NseMeas!X92*AR92</f>
        <v>1.340040969224663E-3</v>
      </c>
      <c r="BG92" s="93">
        <f t="shared" si="102"/>
        <v>7.9892128201410378E-6</v>
      </c>
      <c r="BH92" s="91">
        <f t="shared" si="103"/>
        <v>4.9264185675817682E-3</v>
      </c>
      <c r="BI92" s="93">
        <f t="shared" si="104"/>
        <v>2.9370825516253739E-5</v>
      </c>
    </row>
    <row r="93" spans="1:61">
      <c r="A93" s="91">
        <f t="shared" si="89"/>
        <v>26.500001000000001</v>
      </c>
      <c r="B93" s="92">
        <f>T_0*(1+10^('User Cal. Noise Std'!AA94/10))</f>
        <v>4886.1902581372296</v>
      </c>
      <c r="C93" s="92">
        <f t="shared" si="65"/>
        <v>296</v>
      </c>
      <c r="D93" s="93">
        <f t="shared" si="66"/>
        <v>296</v>
      </c>
      <c r="E93" s="92">
        <f>IF(UsePreamp,T_0*(10^(Preamp!AE94/10)-1),0)</f>
        <v>627.06052144883006</v>
      </c>
      <c r="F93" s="92">
        <f>T_0*(10^((FieldFox!B93-kT0dB)/10)-1)</f>
        <v>45411.676407373438</v>
      </c>
      <c r="G93" s="93">
        <f>IF(UsePreamp,10^(Preamp!AD94/10),1)</f>
        <v>199.06734581632566</v>
      </c>
      <c r="H93" s="94">
        <f t="shared" si="67"/>
        <v>5.6331571950785328E-8</v>
      </c>
      <c r="I93" s="94">
        <f t="shared" si="68"/>
        <v>1.1294847333807005E-8</v>
      </c>
      <c r="J93" s="94">
        <f t="shared" si="69"/>
        <v>2.2528134443143055E-9</v>
      </c>
      <c r="K93" s="95">
        <f t="shared" si="70"/>
        <v>627.06052144882983</v>
      </c>
      <c r="L93" s="93">
        <f t="shared" si="71"/>
        <v>199.06734581632574</v>
      </c>
      <c r="M93" s="94">
        <f t="shared" si="72"/>
        <v>6.1524142648784919E-9</v>
      </c>
      <c r="N93" s="94">
        <f t="shared" si="73"/>
        <v>6.1524142648784927E-9</v>
      </c>
      <c r="O93" s="94">
        <f t="shared" si="74"/>
        <v>4.7940933317912516E-8</v>
      </c>
      <c r="P93" s="91">
        <f t="shared" si="75"/>
        <v>1.0644853444746147</v>
      </c>
      <c r="Q93" s="94">
        <f t="shared" si="76"/>
        <v>6.4485344474614736E-2</v>
      </c>
      <c r="R93" s="94">
        <f t="shared" si="77"/>
        <v>6.3269898143890479E-13</v>
      </c>
      <c r="S93" s="91">
        <v>-1</v>
      </c>
      <c r="T93" s="93">
        <f>FieldFox!AD93</f>
        <v>5.5</v>
      </c>
      <c r="U93" s="93">
        <f>FieldFox!AC93</f>
        <v>3.3947007644769931</v>
      </c>
      <c r="V93" s="93">
        <f>FieldFox!AE93</f>
        <v>2.1052992355230069</v>
      </c>
      <c r="W93" s="94">
        <f t="shared" si="78"/>
        <v>1.8054045564434553E-4</v>
      </c>
      <c r="X93" s="94">
        <f t="shared" si="79"/>
        <v>2.2980270150499131E-4</v>
      </c>
      <c r="Y93" s="94">
        <f t="shared" si="80"/>
        <v>2.9180918829824546E-4</v>
      </c>
      <c r="Z93" s="91">
        <f>IF(UsePreamp,Preamp!AF94,FieldFox!D93)</f>
        <v>0.3981071705534972</v>
      </c>
      <c r="AA93" s="91">
        <f t="shared" si="81"/>
        <v>0.40853898265363492</v>
      </c>
      <c r="AB93" s="91">
        <f>'User Cal. Noise Std'!AC94</f>
        <v>0.22</v>
      </c>
      <c r="AC93" s="91">
        <f>'User Cal. Noise Std'!AD94</f>
        <v>0.12</v>
      </c>
      <c r="AD93" s="91">
        <f>IF(UsePreamp,Preamp!AH94,0)</f>
        <v>0</v>
      </c>
      <c r="AE93" s="91">
        <f>DUT!AG94</f>
        <v>0.31622776601683794</v>
      </c>
      <c r="AF93" s="94">
        <f t="shared" si="82"/>
        <v>3.4307783771473645E-9</v>
      </c>
      <c r="AG93" s="94">
        <f t="shared" si="83"/>
        <v>0</v>
      </c>
      <c r="AH93" s="91">
        <f t="shared" si="90"/>
        <v>3.4307783771473645E-9</v>
      </c>
      <c r="AI93" s="94">
        <f t="shared" si="84"/>
        <v>0</v>
      </c>
      <c r="AJ93" s="94">
        <f t="shared" si="85"/>
        <v>0</v>
      </c>
      <c r="AK93" s="91">
        <f t="shared" si="91"/>
        <v>0</v>
      </c>
      <c r="AL93" s="94">
        <f t="shared" si="86"/>
        <v>2.1706739078933333E-12</v>
      </c>
      <c r="AM93" s="94">
        <f t="shared" si="92"/>
        <v>0</v>
      </c>
      <c r="AN93" s="91">
        <f t="shared" si="93"/>
        <v>2.1706739078933333E-12</v>
      </c>
      <c r="AO93" s="94">
        <f t="shared" si="87"/>
        <v>8.3477229028665889E-13</v>
      </c>
      <c r="AP93" s="94">
        <f t="shared" si="94"/>
        <v>2.2123492546640751E-10</v>
      </c>
      <c r="AQ93" s="94">
        <f t="shared" si="95"/>
        <v>2.212365003585609E-10</v>
      </c>
      <c r="AR93" s="94">
        <f t="shared" si="88"/>
        <v>6.5739166257273206E-13</v>
      </c>
      <c r="AS93" s="94">
        <f>B93*(10^('User Cal. Noise Std'!AB94/(ENRconf*10))-1)*R93</f>
        <v>3.5797739252760619E-11</v>
      </c>
      <c r="AT93" s="91">
        <f t="shared" si="96"/>
        <v>2.2412543634207295E-10</v>
      </c>
      <c r="AU93" s="93">
        <f>NseMeas!H93</f>
        <v>438.4470651377784</v>
      </c>
      <c r="AV93" s="93">
        <f>nSD*NseMeas!X93*AT93</f>
        <v>0.45686199573683128</v>
      </c>
      <c r="AW93" s="93">
        <f t="shared" si="97"/>
        <v>2.7229219493682755E-3</v>
      </c>
      <c r="AX93" s="93">
        <f>nSD*NseMeas!X93*AL93</f>
        <v>4.4247472747378329E-3</v>
      </c>
      <c r="AY93" s="93">
        <f t="shared" si="98"/>
        <v>2.6379919433336028E-5</v>
      </c>
      <c r="AZ93" s="93">
        <f>nSD*NseMeas!X93*AM93</f>
        <v>0</v>
      </c>
      <c r="BA93" s="93">
        <f t="shared" si="99"/>
        <v>0</v>
      </c>
      <c r="BB93" s="93">
        <f>nSD*NseMeas!X93*AO93</f>
        <v>1.7016173654831894E-3</v>
      </c>
      <c r="BC93" s="93">
        <f t="shared" si="100"/>
        <v>1.0144898708076197E-5</v>
      </c>
      <c r="BD93" s="93">
        <f>nSD*NseMeas!X93*AP93</f>
        <v>0.45096991767149286</v>
      </c>
      <c r="BE93" s="93">
        <f t="shared" si="101"/>
        <v>2.6878157133072068E-3</v>
      </c>
      <c r="BF93" s="93">
        <f>nSD*NseMeas!X93*AR93</f>
        <v>1.340040969224663E-3</v>
      </c>
      <c r="BG93" s="93">
        <f t="shared" si="102"/>
        <v>7.9892128201410378E-6</v>
      </c>
      <c r="BH93" s="91">
        <f t="shared" si="103"/>
        <v>4.9264185675817682E-3</v>
      </c>
      <c r="BI93" s="93">
        <f t="shared" si="104"/>
        <v>2.9370825516253739E-5</v>
      </c>
    </row>
    <row r="94" spans="1:61">
      <c r="A94" s="91">
        <f t="shared" si="89"/>
        <v>26.500001000000001</v>
      </c>
      <c r="B94" s="92">
        <f>T_0*(1+10^('User Cal. Noise Std'!AA95/10))</f>
        <v>4886.1902581372296</v>
      </c>
      <c r="C94" s="92">
        <f t="shared" si="65"/>
        <v>296</v>
      </c>
      <c r="D94" s="93">
        <f t="shared" si="66"/>
        <v>296</v>
      </c>
      <c r="E94" s="92">
        <f>IF(UsePreamp,T_0*(10^(Preamp!AE95/10)-1),0)</f>
        <v>627.06052144883006</v>
      </c>
      <c r="F94" s="92">
        <f>T_0*(10^((FieldFox!B94-kT0dB)/10)-1)</f>
        <v>45411.676407373438</v>
      </c>
      <c r="G94" s="93">
        <f>IF(UsePreamp,10^(Preamp!AD95/10),1)</f>
        <v>199.06734581632566</v>
      </c>
      <c r="H94" s="94">
        <f t="shared" si="67"/>
        <v>5.6331571950785328E-8</v>
      </c>
      <c r="I94" s="94">
        <f t="shared" si="68"/>
        <v>1.1294847333807005E-8</v>
      </c>
      <c r="J94" s="94">
        <f t="shared" si="69"/>
        <v>2.2528134443143055E-9</v>
      </c>
      <c r="K94" s="95">
        <f t="shared" si="70"/>
        <v>627.06052144882983</v>
      </c>
      <c r="L94" s="93">
        <f t="shared" si="71"/>
        <v>199.06734581632574</v>
      </c>
      <c r="M94" s="94">
        <f t="shared" si="72"/>
        <v>6.1524142648784919E-9</v>
      </c>
      <c r="N94" s="94">
        <f t="shared" si="73"/>
        <v>6.1524142648784927E-9</v>
      </c>
      <c r="O94" s="94">
        <f t="shared" si="74"/>
        <v>4.7940933317912516E-8</v>
      </c>
      <c r="P94" s="91">
        <f t="shared" si="75"/>
        <v>1.0644853444746147</v>
      </c>
      <c r="Q94" s="94">
        <f t="shared" si="76"/>
        <v>6.4485344474614736E-2</v>
      </c>
      <c r="R94" s="94">
        <f t="shared" si="77"/>
        <v>6.3269898143890479E-13</v>
      </c>
      <c r="S94" s="91">
        <v>-1</v>
      </c>
      <c r="T94" s="93">
        <f>FieldFox!AD94</f>
        <v>5.5</v>
      </c>
      <c r="U94" s="93">
        <f>FieldFox!AC94</f>
        <v>3.3947007644769931</v>
      </c>
      <c r="V94" s="93">
        <f>FieldFox!AE94</f>
        <v>2.1052992355230069</v>
      </c>
      <c r="W94" s="94">
        <f t="shared" si="78"/>
        <v>1.8054045564434553E-4</v>
      </c>
      <c r="X94" s="94">
        <f t="shared" si="79"/>
        <v>2.2980270150499131E-4</v>
      </c>
      <c r="Y94" s="94">
        <f t="shared" si="80"/>
        <v>2.9180918829824546E-4</v>
      </c>
      <c r="Z94" s="91">
        <f>IF(UsePreamp,Preamp!AF95,FieldFox!D94)</f>
        <v>0.3981071705534972</v>
      </c>
      <c r="AA94" s="91">
        <f t="shared" si="81"/>
        <v>0.40853898265363492</v>
      </c>
      <c r="AB94" s="91">
        <f>'User Cal. Noise Std'!AC95</f>
        <v>0.22</v>
      </c>
      <c r="AC94" s="91">
        <f>'User Cal. Noise Std'!AD95</f>
        <v>0.12</v>
      </c>
      <c r="AD94" s="91">
        <f>IF(UsePreamp,Preamp!AH95,0)</f>
        <v>0</v>
      </c>
      <c r="AE94" s="91">
        <f>DUT!AG95</f>
        <v>0.31622776601683794</v>
      </c>
      <c r="AF94" s="94">
        <f t="shared" si="82"/>
        <v>3.4307783771473645E-9</v>
      </c>
      <c r="AG94" s="94">
        <f t="shared" si="83"/>
        <v>0</v>
      </c>
      <c r="AH94" s="91">
        <f t="shared" si="90"/>
        <v>3.4307783771473645E-9</v>
      </c>
      <c r="AI94" s="94">
        <f t="shared" si="84"/>
        <v>0</v>
      </c>
      <c r="AJ94" s="94">
        <f t="shared" si="85"/>
        <v>0</v>
      </c>
      <c r="AK94" s="91">
        <f t="shared" si="91"/>
        <v>0</v>
      </c>
      <c r="AL94" s="94">
        <f t="shared" si="86"/>
        <v>2.1706739078933333E-12</v>
      </c>
      <c r="AM94" s="94">
        <f t="shared" si="92"/>
        <v>0</v>
      </c>
      <c r="AN94" s="91">
        <f t="shared" si="93"/>
        <v>2.1706739078933333E-12</v>
      </c>
      <c r="AO94" s="94">
        <f t="shared" si="87"/>
        <v>8.3477229028665889E-13</v>
      </c>
      <c r="AP94" s="94">
        <f t="shared" si="94"/>
        <v>2.2123492546640751E-10</v>
      </c>
      <c r="AQ94" s="94">
        <f t="shared" si="95"/>
        <v>2.212365003585609E-10</v>
      </c>
      <c r="AR94" s="94">
        <f t="shared" si="88"/>
        <v>6.5739166257273206E-13</v>
      </c>
      <c r="AS94" s="94">
        <f>B94*(10^('User Cal. Noise Std'!AB95/(ENRconf*10))-1)*R94</f>
        <v>3.5797739252760619E-11</v>
      </c>
      <c r="AT94" s="91">
        <f t="shared" si="96"/>
        <v>2.2412543634207295E-10</v>
      </c>
      <c r="AU94" s="93">
        <f>NseMeas!H94</f>
        <v>438.4470651377784</v>
      </c>
      <c r="AV94" s="93">
        <f>nSD*NseMeas!X94*AT94</f>
        <v>0.45686199573683128</v>
      </c>
      <c r="AW94" s="93">
        <f t="shared" si="97"/>
        <v>2.7229219493682755E-3</v>
      </c>
      <c r="AX94" s="93">
        <f>nSD*NseMeas!X94*AL94</f>
        <v>4.4247472747378329E-3</v>
      </c>
      <c r="AY94" s="93">
        <f t="shared" si="98"/>
        <v>2.6379919433336028E-5</v>
      </c>
      <c r="AZ94" s="93">
        <f>nSD*NseMeas!X94*AM94</f>
        <v>0</v>
      </c>
      <c r="BA94" s="93">
        <f t="shared" si="99"/>
        <v>0</v>
      </c>
      <c r="BB94" s="93">
        <f>nSD*NseMeas!X94*AO94</f>
        <v>1.7016173654831894E-3</v>
      </c>
      <c r="BC94" s="93">
        <f t="shared" si="100"/>
        <v>1.0144898708076197E-5</v>
      </c>
      <c r="BD94" s="93">
        <f>nSD*NseMeas!X94*AP94</f>
        <v>0.45096991767149286</v>
      </c>
      <c r="BE94" s="93">
        <f t="shared" si="101"/>
        <v>2.6878157133072068E-3</v>
      </c>
      <c r="BF94" s="93">
        <f>nSD*NseMeas!X94*AR94</f>
        <v>1.340040969224663E-3</v>
      </c>
      <c r="BG94" s="93">
        <f t="shared" si="102"/>
        <v>7.9892128201410378E-6</v>
      </c>
      <c r="BH94" s="91">
        <f t="shared" si="103"/>
        <v>4.9264185675817682E-3</v>
      </c>
      <c r="BI94" s="93">
        <f t="shared" si="104"/>
        <v>2.9370825516253739E-5</v>
      </c>
    </row>
    <row r="95" spans="1:61">
      <c r="A95" s="91">
        <f t="shared" si="89"/>
        <v>26.500001000000001</v>
      </c>
      <c r="B95" s="92">
        <f>T_0*(1+10^('User Cal. Noise Std'!AA96/10))</f>
        <v>4886.1902581372296</v>
      </c>
      <c r="C95" s="92">
        <f t="shared" si="65"/>
        <v>296</v>
      </c>
      <c r="D95" s="93">
        <f t="shared" si="66"/>
        <v>296</v>
      </c>
      <c r="E95" s="92">
        <f>IF(UsePreamp,T_0*(10^(Preamp!AE96/10)-1),0)</f>
        <v>627.06052144883006</v>
      </c>
      <c r="F95" s="92">
        <f>T_0*(10^((FieldFox!B95-kT0dB)/10)-1)</f>
        <v>45411.676407373438</v>
      </c>
      <c r="G95" s="93">
        <f>IF(UsePreamp,10^(Preamp!AD96/10),1)</f>
        <v>199.06734581632566</v>
      </c>
      <c r="H95" s="94">
        <f t="shared" si="67"/>
        <v>5.6331571950785328E-8</v>
      </c>
      <c r="I95" s="94">
        <f t="shared" si="68"/>
        <v>1.1294847333807005E-8</v>
      </c>
      <c r="J95" s="94">
        <f t="shared" si="69"/>
        <v>2.2528134443143055E-9</v>
      </c>
      <c r="K95" s="95">
        <f t="shared" si="70"/>
        <v>627.06052144882983</v>
      </c>
      <c r="L95" s="93">
        <f t="shared" si="71"/>
        <v>199.06734581632574</v>
      </c>
      <c r="M95" s="94">
        <f t="shared" si="72"/>
        <v>6.1524142648784919E-9</v>
      </c>
      <c r="N95" s="94">
        <f t="shared" si="73"/>
        <v>6.1524142648784927E-9</v>
      </c>
      <c r="O95" s="94">
        <f t="shared" si="74"/>
        <v>4.7940933317912516E-8</v>
      </c>
      <c r="P95" s="91">
        <f t="shared" si="75"/>
        <v>1.0644853444746147</v>
      </c>
      <c r="Q95" s="94">
        <f t="shared" si="76"/>
        <v>6.4485344474614736E-2</v>
      </c>
      <c r="R95" s="94">
        <f t="shared" si="77"/>
        <v>6.3269898143890479E-13</v>
      </c>
      <c r="S95" s="91">
        <v>-1</v>
      </c>
      <c r="T95" s="93">
        <f>FieldFox!AD95</f>
        <v>5.5</v>
      </c>
      <c r="U95" s="93">
        <f>FieldFox!AC95</f>
        <v>3.3947007644769931</v>
      </c>
      <c r="V95" s="93">
        <f>FieldFox!AE95</f>
        <v>2.1052992355230069</v>
      </c>
      <c r="W95" s="94">
        <f t="shared" si="78"/>
        <v>1.8054045564434553E-4</v>
      </c>
      <c r="X95" s="94">
        <f t="shared" si="79"/>
        <v>2.2980270150499131E-4</v>
      </c>
      <c r="Y95" s="94">
        <f t="shared" si="80"/>
        <v>2.9180918829824546E-4</v>
      </c>
      <c r="Z95" s="91">
        <f>IF(UsePreamp,Preamp!AF96,FieldFox!D95)</f>
        <v>0.3981071705534972</v>
      </c>
      <c r="AA95" s="91">
        <f t="shared" si="81"/>
        <v>0.40853898265363492</v>
      </c>
      <c r="AB95" s="91">
        <f>'User Cal. Noise Std'!AC96</f>
        <v>0.22</v>
      </c>
      <c r="AC95" s="91">
        <f>'User Cal. Noise Std'!AD96</f>
        <v>0.12</v>
      </c>
      <c r="AD95" s="91">
        <f>IF(UsePreamp,Preamp!AH96,0)</f>
        <v>0</v>
      </c>
      <c r="AE95" s="91">
        <f>DUT!AG96</f>
        <v>0.31622776601683794</v>
      </c>
      <c r="AF95" s="94">
        <f t="shared" si="82"/>
        <v>3.4307783771473645E-9</v>
      </c>
      <c r="AG95" s="94">
        <f t="shared" si="83"/>
        <v>0</v>
      </c>
      <c r="AH95" s="91">
        <f t="shared" si="90"/>
        <v>3.4307783771473645E-9</v>
      </c>
      <c r="AI95" s="94">
        <f t="shared" si="84"/>
        <v>0</v>
      </c>
      <c r="AJ95" s="94">
        <f t="shared" si="85"/>
        <v>0</v>
      </c>
      <c r="AK95" s="91">
        <f t="shared" si="91"/>
        <v>0</v>
      </c>
      <c r="AL95" s="94">
        <f t="shared" si="86"/>
        <v>2.1706739078933333E-12</v>
      </c>
      <c r="AM95" s="94">
        <f t="shared" si="92"/>
        <v>0</v>
      </c>
      <c r="AN95" s="91">
        <f t="shared" si="93"/>
        <v>2.1706739078933333E-12</v>
      </c>
      <c r="AO95" s="94">
        <f t="shared" si="87"/>
        <v>8.3477229028665889E-13</v>
      </c>
      <c r="AP95" s="94">
        <f t="shared" si="94"/>
        <v>2.2123492546640751E-10</v>
      </c>
      <c r="AQ95" s="94">
        <f t="shared" si="95"/>
        <v>2.212365003585609E-10</v>
      </c>
      <c r="AR95" s="94">
        <f t="shared" si="88"/>
        <v>6.5739166257273206E-13</v>
      </c>
      <c r="AS95" s="94">
        <f>B95*(10^('User Cal. Noise Std'!AB96/(ENRconf*10))-1)*R95</f>
        <v>3.5797739252760619E-11</v>
      </c>
      <c r="AT95" s="91">
        <f t="shared" si="96"/>
        <v>2.2412543634207295E-10</v>
      </c>
      <c r="AU95" s="93">
        <f>NseMeas!H95</f>
        <v>438.4470651377784</v>
      </c>
      <c r="AV95" s="93">
        <f>nSD*NseMeas!X95*AT95</f>
        <v>0.45686199573683128</v>
      </c>
      <c r="AW95" s="93">
        <f t="shared" si="97"/>
        <v>2.7229219493682755E-3</v>
      </c>
      <c r="AX95" s="93">
        <f>nSD*NseMeas!X95*AL95</f>
        <v>4.4247472747378329E-3</v>
      </c>
      <c r="AY95" s="93">
        <f t="shared" si="98"/>
        <v>2.6379919433336028E-5</v>
      </c>
      <c r="AZ95" s="93">
        <f>nSD*NseMeas!X95*AM95</f>
        <v>0</v>
      </c>
      <c r="BA95" s="93">
        <f t="shared" si="99"/>
        <v>0</v>
      </c>
      <c r="BB95" s="93">
        <f>nSD*NseMeas!X95*AO95</f>
        <v>1.7016173654831894E-3</v>
      </c>
      <c r="BC95" s="93">
        <f t="shared" si="100"/>
        <v>1.0144898708076197E-5</v>
      </c>
      <c r="BD95" s="93">
        <f>nSD*NseMeas!X95*AP95</f>
        <v>0.45096991767149286</v>
      </c>
      <c r="BE95" s="93">
        <f t="shared" si="101"/>
        <v>2.6878157133072068E-3</v>
      </c>
      <c r="BF95" s="93">
        <f>nSD*NseMeas!X95*AR95</f>
        <v>1.340040969224663E-3</v>
      </c>
      <c r="BG95" s="93">
        <f t="shared" si="102"/>
        <v>7.9892128201410378E-6</v>
      </c>
      <c r="BH95" s="91">
        <f t="shared" si="103"/>
        <v>4.9264185675817682E-3</v>
      </c>
      <c r="BI95" s="93">
        <f t="shared" si="104"/>
        <v>2.9370825516253739E-5</v>
      </c>
    </row>
    <row r="96" spans="1:61">
      <c r="A96" s="91">
        <f t="shared" si="89"/>
        <v>26.500001000000001</v>
      </c>
      <c r="B96" s="92">
        <f>T_0*(1+10^('User Cal. Noise Std'!AA97/10))</f>
        <v>4886.1902581372296</v>
      </c>
      <c r="C96" s="92">
        <f t="shared" si="65"/>
        <v>296</v>
      </c>
      <c r="D96" s="93">
        <f t="shared" si="66"/>
        <v>296</v>
      </c>
      <c r="E96" s="92">
        <f>IF(UsePreamp,T_0*(10^(Preamp!AE97/10)-1),0)</f>
        <v>627.06052144883006</v>
      </c>
      <c r="F96" s="92">
        <f>T_0*(10^((FieldFox!B96-kT0dB)/10)-1)</f>
        <v>45411.676407373438</v>
      </c>
      <c r="G96" s="93">
        <f>IF(UsePreamp,10^(Preamp!AD97/10),1)</f>
        <v>199.06734581632566</v>
      </c>
      <c r="H96" s="94">
        <f t="shared" si="67"/>
        <v>5.6331571950785328E-8</v>
      </c>
      <c r="I96" s="94">
        <f t="shared" si="68"/>
        <v>1.1294847333807005E-8</v>
      </c>
      <c r="J96" s="94">
        <f t="shared" si="69"/>
        <v>2.2528134443143055E-9</v>
      </c>
      <c r="K96" s="95">
        <f t="shared" si="70"/>
        <v>627.06052144882983</v>
      </c>
      <c r="L96" s="93">
        <f t="shared" si="71"/>
        <v>199.06734581632574</v>
      </c>
      <c r="M96" s="94">
        <f t="shared" si="72"/>
        <v>6.1524142648784919E-9</v>
      </c>
      <c r="N96" s="94">
        <f t="shared" si="73"/>
        <v>6.1524142648784927E-9</v>
      </c>
      <c r="O96" s="94">
        <f t="shared" si="74"/>
        <v>4.7940933317912516E-8</v>
      </c>
      <c r="P96" s="91">
        <f t="shared" si="75"/>
        <v>1.0644853444746147</v>
      </c>
      <c r="Q96" s="94">
        <f t="shared" si="76"/>
        <v>6.4485344474614736E-2</v>
      </c>
      <c r="R96" s="94">
        <f t="shared" si="77"/>
        <v>6.3269898143890479E-13</v>
      </c>
      <c r="S96" s="91">
        <v>-1</v>
      </c>
      <c r="T96" s="93">
        <f>FieldFox!AD96</f>
        <v>5.5</v>
      </c>
      <c r="U96" s="93">
        <f>FieldFox!AC96</f>
        <v>3.3947007644769931</v>
      </c>
      <c r="V96" s="93">
        <f>FieldFox!AE96</f>
        <v>2.1052992355230069</v>
      </c>
      <c r="W96" s="94">
        <f t="shared" si="78"/>
        <v>1.8054045564434553E-4</v>
      </c>
      <c r="X96" s="94">
        <f t="shared" si="79"/>
        <v>2.2980270150499131E-4</v>
      </c>
      <c r="Y96" s="94">
        <f t="shared" si="80"/>
        <v>2.9180918829824546E-4</v>
      </c>
      <c r="Z96" s="91">
        <f>IF(UsePreamp,Preamp!AF97,FieldFox!D96)</f>
        <v>0.3981071705534972</v>
      </c>
      <c r="AA96" s="91">
        <f t="shared" si="81"/>
        <v>0.40853898265363492</v>
      </c>
      <c r="AB96" s="91">
        <f>'User Cal. Noise Std'!AC97</f>
        <v>0.22</v>
      </c>
      <c r="AC96" s="91">
        <f>'User Cal. Noise Std'!AD97</f>
        <v>0.12</v>
      </c>
      <c r="AD96" s="91">
        <f>IF(UsePreamp,Preamp!AH97,0)</f>
        <v>0</v>
      </c>
      <c r="AE96" s="91">
        <f>DUT!AG97</f>
        <v>0.31622776601683794</v>
      </c>
      <c r="AF96" s="94">
        <f t="shared" si="82"/>
        <v>3.4307783771473645E-9</v>
      </c>
      <c r="AG96" s="94">
        <f t="shared" si="83"/>
        <v>0</v>
      </c>
      <c r="AH96" s="91">
        <f t="shared" si="90"/>
        <v>3.4307783771473645E-9</v>
      </c>
      <c r="AI96" s="94">
        <f t="shared" si="84"/>
        <v>0</v>
      </c>
      <c r="AJ96" s="94">
        <f t="shared" si="85"/>
        <v>0</v>
      </c>
      <c r="AK96" s="91">
        <f t="shared" si="91"/>
        <v>0</v>
      </c>
      <c r="AL96" s="94">
        <f t="shared" si="86"/>
        <v>2.1706739078933333E-12</v>
      </c>
      <c r="AM96" s="94">
        <f t="shared" si="92"/>
        <v>0</v>
      </c>
      <c r="AN96" s="91">
        <f t="shared" si="93"/>
        <v>2.1706739078933333E-12</v>
      </c>
      <c r="AO96" s="94">
        <f t="shared" si="87"/>
        <v>8.3477229028665889E-13</v>
      </c>
      <c r="AP96" s="94">
        <f t="shared" si="94"/>
        <v>2.2123492546640751E-10</v>
      </c>
      <c r="AQ96" s="94">
        <f t="shared" si="95"/>
        <v>2.212365003585609E-10</v>
      </c>
      <c r="AR96" s="94">
        <f t="shared" si="88"/>
        <v>6.5739166257273206E-13</v>
      </c>
      <c r="AS96" s="94">
        <f>B96*(10^('User Cal. Noise Std'!AB97/(ENRconf*10))-1)*R96</f>
        <v>3.5797739252760619E-11</v>
      </c>
      <c r="AT96" s="91">
        <f t="shared" si="96"/>
        <v>2.2412543634207295E-10</v>
      </c>
      <c r="AU96" s="93">
        <f>NseMeas!H96</f>
        <v>438.4470651377784</v>
      </c>
      <c r="AV96" s="93">
        <f>nSD*NseMeas!X96*AT96</f>
        <v>0.45686199573683128</v>
      </c>
      <c r="AW96" s="93">
        <f t="shared" si="97"/>
        <v>2.7229219493682755E-3</v>
      </c>
      <c r="AX96" s="93">
        <f>nSD*NseMeas!X96*AL96</f>
        <v>4.4247472747378329E-3</v>
      </c>
      <c r="AY96" s="93">
        <f t="shared" si="98"/>
        <v>2.6379919433336028E-5</v>
      </c>
      <c r="AZ96" s="93">
        <f>nSD*NseMeas!X96*AM96</f>
        <v>0</v>
      </c>
      <c r="BA96" s="93">
        <f t="shared" si="99"/>
        <v>0</v>
      </c>
      <c r="BB96" s="93">
        <f>nSD*NseMeas!X96*AO96</f>
        <v>1.7016173654831894E-3</v>
      </c>
      <c r="BC96" s="93">
        <f t="shared" si="100"/>
        <v>1.0144898708076197E-5</v>
      </c>
      <c r="BD96" s="93">
        <f>nSD*NseMeas!X96*AP96</f>
        <v>0.45096991767149286</v>
      </c>
      <c r="BE96" s="93">
        <f t="shared" si="101"/>
        <v>2.6878157133072068E-3</v>
      </c>
      <c r="BF96" s="93">
        <f>nSD*NseMeas!X96*AR96</f>
        <v>1.340040969224663E-3</v>
      </c>
      <c r="BG96" s="93">
        <f t="shared" si="102"/>
        <v>7.9892128201410378E-6</v>
      </c>
      <c r="BH96" s="91">
        <f t="shared" si="103"/>
        <v>4.9264185675817682E-3</v>
      </c>
      <c r="BI96" s="93">
        <f t="shared" si="104"/>
        <v>2.9370825516253739E-5</v>
      </c>
    </row>
    <row r="97" spans="1:61">
      <c r="A97" s="91">
        <f t="shared" si="89"/>
        <v>26.500001000000001</v>
      </c>
      <c r="B97" s="92">
        <f>T_0*(1+10^('User Cal. Noise Std'!AA98/10))</f>
        <v>4886.1902581372296</v>
      </c>
      <c r="C97" s="92">
        <f t="shared" si="65"/>
        <v>296</v>
      </c>
      <c r="D97" s="93">
        <f t="shared" si="66"/>
        <v>296</v>
      </c>
      <c r="E97" s="92">
        <f>IF(UsePreamp,T_0*(10^(Preamp!AE98/10)-1),0)</f>
        <v>627.06052144883006</v>
      </c>
      <c r="F97" s="92">
        <f>T_0*(10^((FieldFox!B97-kT0dB)/10)-1)</f>
        <v>45411.676407373438</v>
      </c>
      <c r="G97" s="93">
        <f>IF(UsePreamp,10^(Preamp!AD98/10),1)</f>
        <v>199.06734581632566</v>
      </c>
      <c r="H97" s="94">
        <f t="shared" si="67"/>
        <v>5.6331571950785328E-8</v>
      </c>
      <c r="I97" s="94">
        <f t="shared" si="68"/>
        <v>1.1294847333807005E-8</v>
      </c>
      <c r="J97" s="94">
        <f t="shared" si="69"/>
        <v>2.2528134443143055E-9</v>
      </c>
      <c r="K97" s="95">
        <f t="shared" si="70"/>
        <v>627.06052144882983</v>
      </c>
      <c r="L97" s="93">
        <f t="shared" si="71"/>
        <v>199.06734581632574</v>
      </c>
      <c r="M97" s="94">
        <f t="shared" si="72"/>
        <v>6.1524142648784919E-9</v>
      </c>
      <c r="N97" s="94">
        <f t="shared" si="73"/>
        <v>6.1524142648784927E-9</v>
      </c>
      <c r="O97" s="94">
        <f t="shared" si="74"/>
        <v>4.7940933317912516E-8</v>
      </c>
      <c r="P97" s="91">
        <f t="shared" si="75"/>
        <v>1.0644853444746147</v>
      </c>
      <c r="Q97" s="94">
        <f t="shared" si="76"/>
        <v>6.4485344474614736E-2</v>
      </c>
      <c r="R97" s="94">
        <f t="shared" si="77"/>
        <v>6.3269898143890479E-13</v>
      </c>
      <c r="S97" s="91">
        <v>-1</v>
      </c>
      <c r="T97" s="93">
        <f>FieldFox!AD97</f>
        <v>5.5</v>
      </c>
      <c r="U97" s="93">
        <f>FieldFox!AC97</f>
        <v>3.3947007644769931</v>
      </c>
      <c r="V97" s="93">
        <f>FieldFox!AE97</f>
        <v>2.1052992355230069</v>
      </c>
      <c r="W97" s="94">
        <f t="shared" si="78"/>
        <v>1.8054045564434553E-4</v>
      </c>
      <c r="X97" s="94">
        <f t="shared" si="79"/>
        <v>2.2980270150499131E-4</v>
      </c>
      <c r="Y97" s="94">
        <f t="shared" si="80"/>
        <v>2.9180918829824546E-4</v>
      </c>
      <c r="Z97" s="91">
        <f>IF(UsePreamp,Preamp!AF98,FieldFox!D97)</f>
        <v>0.3981071705534972</v>
      </c>
      <c r="AA97" s="91">
        <f t="shared" si="81"/>
        <v>0.40853898265363492</v>
      </c>
      <c r="AB97" s="91">
        <f>'User Cal. Noise Std'!AC98</f>
        <v>0.22</v>
      </c>
      <c r="AC97" s="91">
        <f>'User Cal. Noise Std'!AD98</f>
        <v>0.12</v>
      </c>
      <c r="AD97" s="91">
        <f>IF(UsePreamp,Preamp!AH98,0)</f>
        <v>0</v>
      </c>
      <c r="AE97" s="91">
        <f>DUT!AG98</f>
        <v>0.31622776601683794</v>
      </c>
      <c r="AF97" s="94">
        <f t="shared" si="82"/>
        <v>3.4307783771473645E-9</v>
      </c>
      <c r="AG97" s="94">
        <f t="shared" si="83"/>
        <v>0</v>
      </c>
      <c r="AH97" s="91">
        <f t="shared" si="90"/>
        <v>3.4307783771473645E-9</v>
      </c>
      <c r="AI97" s="94">
        <f t="shared" si="84"/>
        <v>0</v>
      </c>
      <c r="AJ97" s="94">
        <f t="shared" si="85"/>
        <v>0</v>
      </c>
      <c r="AK97" s="91">
        <f t="shared" si="91"/>
        <v>0</v>
      </c>
      <c r="AL97" s="94">
        <f t="shared" si="86"/>
        <v>2.1706739078933333E-12</v>
      </c>
      <c r="AM97" s="94">
        <f t="shared" si="92"/>
        <v>0</v>
      </c>
      <c r="AN97" s="91">
        <f t="shared" si="93"/>
        <v>2.1706739078933333E-12</v>
      </c>
      <c r="AO97" s="94">
        <f t="shared" si="87"/>
        <v>8.3477229028665889E-13</v>
      </c>
      <c r="AP97" s="94">
        <f t="shared" si="94"/>
        <v>2.2123492546640751E-10</v>
      </c>
      <c r="AQ97" s="94">
        <f t="shared" si="95"/>
        <v>2.212365003585609E-10</v>
      </c>
      <c r="AR97" s="94">
        <f t="shared" si="88"/>
        <v>6.5739166257273206E-13</v>
      </c>
      <c r="AS97" s="94">
        <f>B97*(10^('User Cal. Noise Std'!AB98/(ENRconf*10))-1)*R97</f>
        <v>3.5797739252760619E-11</v>
      </c>
      <c r="AT97" s="91">
        <f t="shared" si="96"/>
        <v>2.2412543634207295E-10</v>
      </c>
      <c r="AU97" s="93">
        <f>NseMeas!H97</f>
        <v>438.4470651377784</v>
      </c>
      <c r="AV97" s="93">
        <f>nSD*NseMeas!X97*AT97</f>
        <v>0.45686199573683128</v>
      </c>
      <c r="AW97" s="93">
        <f t="shared" si="97"/>
        <v>2.7229219493682755E-3</v>
      </c>
      <c r="AX97" s="93">
        <f>nSD*NseMeas!X97*AL97</f>
        <v>4.4247472747378329E-3</v>
      </c>
      <c r="AY97" s="93">
        <f t="shared" si="98"/>
        <v>2.6379919433336028E-5</v>
      </c>
      <c r="AZ97" s="93">
        <f>nSD*NseMeas!X97*AM97</f>
        <v>0</v>
      </c>
      <c r="BA97" s="93">
        <f t="shared" si="99"/>
        <v>0</v>
      </c>
      <c r="BB97" s="93">
        <f>nSD*NseMeas!X97*AO97</f>
        <v>1.7016173654831894E-3</v>
      </c>
      <c r="BC97" s="93">
        <f t="shared" si="100"/>
        <v>1.0144898708076197E-5</v>
      </c>
      <c r="BD97" s="93">
        <f>nSD*NseMeas!X97*AP97</f>
        <v>0.45096991767149286</v>
      </c>
      <c r="BE97" s="93">
        <f t="shared" si="101"/>
        <v>2.6878157133072068E-3</v>
      </c>
      <c r="BF97" s="93">
        <f>nSD*NseMeas!X97*AR97</f>
        <v>1.340040969224663E-3</v>
      </c>
      <c r="BG97" s="93">
        <f t="shared" si="102"/>
        <v>7.9892128201410378E-6</v>
      </c>
      <c r="BH97" s="91">
        <f t="shared" si="103"/>
        <v>4.9264185675817682E-3</v>
      </c>
      <c r="BI97" s="93">
        <f t="shared" si="104"/>
        <v>2.9370825516253739E-5</v>
      </c>
    </row>
    <row r="98" spans="1:61">
      <c r="A98" s="91">
        <f t="shared" si="89"/>
        <v>26.500001000000001</v>
      </c>
      <c r="B98" s="92">
        <f>T_0*(1+10^('User Cal. Noise Std'!AA99/10))</f>
        <v>4886.1902581372296</v>
      </c>
      <c r="C98" s="92">
        <f t="shared" si="65"/>
        <v>296</v>
      </c>
      <c r="D98" s="93">
        <f t="shared" si="66"/>
        <v>296</v>
      </c>
      <c r="E98" s="92">
        <f>IF(UsePreamp,T_0*(10^(Preamp!AE99/10)-1),0)</f>
        <v>627.06052144883006</v>
      </c>
      <c r="F98" s="92">
        <f>T_0*(10^((FieldFox!B98-kT0dB)/10)-1)</f>
        <v>45411.676407373438</v>
      </c>
      <c r="G98" s="93">
        <f>IF(UsePreamp,10^(Preamp!AD99/10),1)</f>
        <v>199.06734581632566</v>
      </c>
      <c r="H98" s="94">
        <f t="shared" si="67"/>
        <v>5.6331571950785328E-8</v>
      </c>
      <c r="I98" s="94">
        <f t="shared" si="68"/>
        <v>1.1294847333807005E-8</v>
      </c>
      <c r="J98" s="94">
        <f t="shared" si="69"/>
        <v>2.2528134443143055E-9</v>
      </c>
      <c r="K98" s="95">
        <f t="shared" si="70"/>
        <v>627.06052144882983</v>
      </c>
      <c r="L98" s="93">
        <f t="shared" si="71"/>
        <v>199.06734581632574</v>
      </c>
      <c r="M98" s="94">
        <f t="shared" si="72"/>
        <v>6.1524142648784919E-9</v>
      </c>
      <c r="N98" s="94">
        <f t="shared" si="73"/>
        <v>6.1524142648784927E-9</v>
      </c>
      <c r="O98" s="94">
        <f t="shared" si="74"/>
        <v>4.7940933317912516E-8</v>
      </c>
      <c r="P98" s="91">
        <f t="shared" si="75"/>
        <v>1.0644853444746147</v>
      </c>
      <c r="Q98" s="94">
        <f t="shared" si="76"/>
        <v>6.4485344474614736E-2</v>
      </c>
      <c r="R98" s="94">
        <f t="shared" si="77"/>
        <v>6.3269898143890479E-13</v>
      </c>
      <c r="S98" s="91">
        <v>-1</v>
      </c>
      <c r="T98" s="93">
        <f>FieldFox!AD98</f>
        <v>5.5</v>
      </c>
      <c r="U98" s="93">
        <f>FieldFox!AC98</f>
        <v>3.3947007644769931</v>
      </c>
      <c r="V98" s="93">
        <f>FieldFox!AE98</f>
        <v>2.1052992355230069</v>
      </c>
      <c r="W98" s="94">
        <f t="shared" si="78"/>
        <v>1.8054045564434553E-4</v>
      </c>
      <c r="X98" s="94">
        <f t="shared" si="79"/>
        <v>2.2980270150499131E-4</v>
      </c>
      <c r="Y98" s="94">
        <f t="shared" si="80"/>
        <v>2.9180918829824546E-4</v>
      </c>
      <c r="Z98" s="91">
        <f>IF(UsePreamp,Preamp!AF99,FieldFox!D98)</f>
        <v>0.3981071705534972</v>
      </c>
      <c r="AA98" s="91">
        <f t="shared" si="81"/>
        <v>0.40853898265363492</v>
      </c>
      <c r="AB98" s="91">
        <f>'User Cal. Noise Std'!AC99</f>
        <v>0.22</v>
      </c>
      <c r="AC98" s="91">
        <f>'User Cal. Noise Std'!AD99</f>
        <v>0.12</v>
      </c>
      <c r="AD98" s="91">
        <f>IF(UsePreamp,Preamp!AH99,0)</f>
        <v>0</v>
      </c>
      <c r="AE98" s="91">
        <f>DUT!AG99</f>
        <v>0.31622776601683794</v>
      </c>
      <c r="AF98" s="94">
        <f t="shared" si="82"/>
        <v>3.4307783771473645E-9</v>
      </c>
      <c r="AG98" s="94">
        <f t="shared" si="83"/>
        <v>0</v>
      </c>
      <c r="AH98" s="91">
        <f t="shared" si="90"/>
        <v>3.4307783771473645E-9</v>
      </c>
      <c r="AI98" s="94">
        <f t="shared" si="84"/>
        <v>0</v>
      </c>
      <c r="AJ98" s="94">
        <f t="shared" si="85"/>
        <v>0</v>
      </c>
      <c r="AK98" s="91">
        <f t="shared" si="91"/>
        <v>0</v>
      </c>
      <c r="AL98" s="94">
        <f t="shared" si="86"/>
        <v>2.1706739078933333E-12</v>
      </c>
      <c r="AM98" s="94">
        <f t="shared" si="92"/>
        <v>0</v>
      </c>
      <c r="AN98" s="91">
        <f t="shared" si="93"/>
        <v>2.1706739078933333E-12</v>
      </c>
      <c r="AO98" s="94">
        <f t="shared" si="87"/>
        <v>8.3477229028665889E-13</v>
      </c>
      <c r="AP98" s="94">
        <f t="shared" si="94"/>
        <v>2.2123492546640751E-10</v>
      </c>
      <c r="AQ98" s="94">
        <f t="shared" si="95"/>
        <v>2.212365003585609E-10</v>
      </c>
      <c r="AR98" s="94">
        <f t="shared" si="88"/>
        <v>6.5739166257273206E-13</v>
      </c>
      <c r="AS98" s="94">
        <f>B98*(10^('User Cal. Noise Std'!AB99/(ENRconf*10))-1)*R98</f>
        <v>3.5797739252760619E-11</v>
      </c>
      <c r="AT98" s="91">
        <f t="shared" si="96"/>
        <v>2.2412543634207295E-10</v>
      </c>
      <c r="AU98" s="93">
        <f>NseMeas!H98</f>
        <v>438.4470651377784</v>
      </c>
      <c r="AV98" s="93">
        <f>nSD*NseMeas!X98*AT98</f>
        <v>0.45686199573683128</v>
      </c>
      <c r="AW98" s="93">
        <f t="shared" si="97"/>
        <v>2.7229219493682755E-3</v>
      </c>
      <c r="AX98" s="93">
        <f>nSD*NseMeas!X98*AL98</f>
        <v>4.4247472747378329E-3</v>
      </c>
      <c r="AY98" s="93">
        <f t="shared" si="98"/>
        <v>2.6379919433336028E-5</v>
      </c>
      <c r="AZ98" s="93">
        <f>nSD*NseMeas!X98*AM98</f>
        <v>0</v>
      </c>
      <c r="BA98" s="93">
        <f t="shared" si="99"/>
        <v>0</v>
      </c>
      <c r="BB98" s="93">
        <f>nSD*NseMeas!X98*AO98</f>
        <v>1.7016173654831894E-3</v>
      </c>
      <c r="BC98" s="93">
        <f t="shared" si="100"/>
        <v>1.0144898708076197E-5</v>
      </c>
      <c r="BD98" s="93">
        <f>nSD*NseMeas!X98*AP98</f>
        <v>0.45096991767149286</v>
      </c>
      <c r="BE98" s="93">
        <f t="shared" si="101"/>
        <v>2.6878157133072068E-3</v>
      </c>
      <c r="BF98" s="93">
        <f>nSD*NseMeas!X98*AR98</f>
        <v>1.340040969224663E-3</v>
      </c>
      <c r="BG98" s="93">
        <f t="shared" si="102"/>
        <v>7.9892128201410378E-6</v>
      </c>
      <c r="BH98" s="91">
        <f t="shared" si="103"/>
        <v>4.9264185675817682E-3</v>
      </c>
      <c r="BI98" s="93">
        <f t="shared" si="104"/>
        <v>2.9370825516253739E-5</v>
      </c>
    </row>
    <row r="99" spans="1:61">
      <c r="A99" s="91">
        <f t="shared" si="89"/>
        <v>26.500001000000001</v>
      </c>
      <c r="B99" s="92">
        <f>T_0*(1+10^('User Cal. Noise Std'!AA100/10))</f>
        <v>4886.1902581372296</v>
      </c>
      <c r="C99" s="92">
        <f t="shared" si="65"/>
        <v>296</v>
      </c>
      <c r="D99" s="93">
        <f t="shared" si="66"/>
        <v>296</v>
      </c>
      <c r="E99" s="92">
        <f>IF(UsePreamp,T_0*(10^(Preamp!AE100/10)-1),0)</f>
        <v>627.06052144883006</v>
      </c>
      <c r="F99" s="92">
        <f>T_0*(10^((FieldFox!B99-kT0dB)/10)-1)</f>
        <v>45411.676407373438</v>
      </c>
      <c r="G99" s="93">
        <f>IF(UsePreamp,10^(Preamp!AD100/10),1)</f>
        <v>199.06734581632566</v>
      </c>
      <c r="H99" s="94">
        <f t="shared" si="67"/>
        <v>5.6331571950785328E-8</v>
      </c>
      <c r="I99" s="94">
        <f t="shared" si="68"/>
        <v>1.1294847333807005E-8</v>
      </c>
      <c r="J99" s="94">
        <f t="shared" si="69"/>
        <v>2.2528134443143055E-9</v>
      </c>
      <c r="K99" s="95">
        <f t="shared" si="70"/>
        <v>627.06052144882983</v>
      </c>
      <c r="L99" s="93">
        <f t="shared" si="71"/>
        <v>199.06734581632574</v>
      </c>
      <c r="M99" s="94">
        <f t="shared" si="72"/>
        <v>6.1524142648784919E-9</v>
      </c>
      <c r="N99" s="94">
        <f t="shared" si="73"/>
        <v>6.1524142648784927E-9</v>
      </c>
      <c r="O99" s="94">
        <f t="shared" si="74"/>
        <v>4.7940933317912516E-8</v>
      </c>
      <c r="P99" s="91">
        <f t="shared" si="75"/>
        <v>1.0644853444746147</v>
      </c>
      <c r="Q99" s="94">
        <f t="shared" si="76"/>
        <v>6.4485344474614736E-2</v>
      </c>
      <c r="R99" s="94">
        <f t="shared" si="77"/>
        <v>6.3269898143890479E-13</v>
      </c>
      <c r="S99" s="91">
        <v>-1</v>
      </c>
      <c r="T99" s="93">
        <f>FieldFox!AD99</f>
        <v>5.5</v>
      </c>
      <c r="U99" s="93">
        <f>FieldFox!AC99</f>
        <v>3.3947007644769931</v>
      </c>
      <c r="V99" s="93">
        <f>FieldFox!AE99</f>
        <v>2.1052992355230069</v>
      </c>
      <c r="W99" s="94">
        <f t="shared" si="78"/>
        <v>1.8054045564434553E-4</v>
      </c>
      <c r="X99" s="94">
        <f t="shared" si="79"/>
        <v>2.2980270150499131E-4</v>
      </c>
      <c r="Y99" s="94">
        <f t="shared" si="80"/>
        <v>2.9180918829824546E-4</v>
      </c>
      <c r="Z99" s="91">
        <f>IF(UsePreamp,Preamp!AF100,FieldFox!D99)</f>
        <v>0.3981071705534972</v>
      </c>
      <c r="AA99" s="91">
        <f t="shared" si="81"/>
        <v>0.40853898265363492</v>
      </c>
      <c r="AB99" s="91">
        <f>'User Cal. Noise Std'!AC100</f>
        <v>0.22</v>
      </c>
      <c r="AC99" s="91">
        <f>'User Cal. Noise Std'!AD100</f>
        <v>0.12</v>
      </c>
      <c r="AD99" s="91">
        <f>IF(UsePreamp,Preamp!AH100,0)</f>
        <v>0</v>
      </c>
      <c r="AE99" s="91">
        <f>DUT!AG100</f>
        <v>0.31622776601683794</v>
      </c>
      <c r="AF99" s="94">
        <f t="shared" si="82"/>
        <v>3.4307783771473645E-9</v>
      </c>
      <c r="AG99" s="94">
        <f t="shared" si="83"/>
        <v>0</v>
      </c>
      <c r="AH99" s="91">
        <f t="shared" si="90"/>
        <v>3.4307783771473645E-9</v>
      </c>
      <c r="AI99" s="94">
        <f t="shared" si="84"/>
        <v>0</v>
      </c>
      <c r="AJ99" s="94">
        <f t="shared" si="85"/>
        <v>0</v>
      </c>
      <c r="AK99" s="91">
        <f t="shared" si="91"/>
        <v>0</v>
      </c>
      <c r="AL99" s="94">
        <f t="shared" si="86"/>
        <v>2.1706739078933333E-12</v>
      </c>
      <c r="AM99" s="94">
        <f t="shared" si="92"/>
        <v>0</v>
      </c>
      <c r="AN99" s="91">
        <f t="shared" si="93"/>
        <v>2.1706739078933333E-12</v>
      </c>
      <c r="AO99" s="94">
        <f t="shared" si="87"/>
        <v>8.3477229028665889E-13</v>
      </c>
      <c r="AP99" s="94">
        <f t="shared" si="94"/>
        <v>2.2123492546640751E-10</v>
      </c>
      <c r="AQ99" s="94">
        <f t="shared" si="95"/>
        <v>2.212365003585609E-10</v>
      </c>
      <c r="AR99" s="94">
        <f t="shared" si="88"/>
        <v>6.5739166257273206E-13</v>
      </c>
      <c r="AS99" s="94">
        <f>B99*(10^('User Cal. Noise Std'!AB100/(ENRconf*10))-1)*R99</f>
        <v>3.5797739252760619E-11</v>
      </c>
      <c r="AT99" s="91">
        <f t="shared" si="96"/>
        <v>2.2412543634207295E-10</v>
      </c>
      <c r="AU99" s="93">
        <f>NseMeas!H99</f>
        <v>438.4470651377784</v>
      </c>
      <c r="AV99" s="93">
        <f>nSD*NseMeas!X99*AT99</f>
        <v>0.45686199573683128</v>
      </c>
      <c r="AW99" s="93">
        <f t="shared" si="97"/>
        <v>2.7229219493682755E-3</v>
      </c>
      <c r="AX99" s="93">
        <f>nSD*NseMeas!X99*AL99</f>
        <v>4.4247472747378329E-3</v>
      </c>
      <c r="AY99" s="93">
        <f t="shared" si="98"/>
        <v>2.6379919433336028E-5</v>
      </c>
      <c r="AZ99" s="93">
        <f>nSD*NseMeas!X99*AM99</f>
        <v>0</v>
      </c>
      <c r="BA99" s="93">
        <f t="shared" si="99"/>
        <v>0</v>
      </c>
      <c r="BB99" s="93">
        <f>nSD*NseMeas!X99*AO99</f>
        <v>1.7016173654831894E-3</v>
      </c>
      <c r="BC99" s="93">
        <f t="shared" si="100"/>
        <v>1.0144898708076197E-5</v>
      </c>
      <c r="BD99" s="93">
        <f>nSD*NseMeas!X99*AP99</f>
        <v>0.45096991767149286</v>
      </c>
      <c r="BE99" s="93">
        <f t="shared" si="101"/>
        <v>2.6878157133072068E-3</v>
      </c>
      <c r="BF99" s="93">
        <f>nSD*NseMeas!X99*AR99</f>
        <v>1.340040969224663E-3</v>
      </c>
      <c r="BG99" s="93">
        <f t="shared" si="102"/>
        <v>7.9892128201410378E-6</v>
      </c>
      <c r="BH99" s="91">
        <f t="shared" si="103"/>
        <v>4.9264185675817682E-3</v>
      </c>
      <c r="BI99" s="93">
        <f t="shared" si="104"/>
        <v>2.9370825516253739E-5</v>
      </c>
    </row>
    <row r="100" spans="1:61">
      <c r="A100" s="91">
        <f t="shared" si="89"/>
        <v>26.500001000000001</v>
      </c>
      <c r="B100" s="92">
        <f>T_0*(1+10^('User Cal. Noise Std'!AA101/10))</f>
        <v>4886.1902581372296</v>
      </c>
      <c r="C100" s="92">
        <f t="shared" si="65"/>
        <v>296</v>
      </c>
      <c r="D100" s="93">
        <f t="shared" si="66"/>
        <v>296</v>
      </c>
      <c r="E100" s="92">
        <f>IF(UsePreamp,T_0*(10^(Preamp!AE101/10)-1),0)</f>
        <v>627.06052144883006</v>
      </c>
      <c r="F100" s="92">
        <f>T_0*(10^((FieldFox!B100-kT0dB)/10)-1)</f>
        <v>45411.676407373438</v>
      </c>
      <c r="G100" s="93">
        <f>IF(UsePreamp,10^(Preamp!AD101/10),1)</f>
        <v>199.06734581632566</v>
      </c>
      <c r="H100" s="94">
        <f t="shared" si="67"/>
        <v>5.6331571950785328E-8</v>
      </c>
      <c r="I100" s="94">
        <f t="shared" si="68"/>
        <v>1.1294847333807005E-8</v>
      </c>
      <c r="J100" s="94">
        <f t="shared" si="69"/>
        <v>2.2528134443143055E-9</v>
      </c>
      <c r="K100" s="95">
        <f t="shared" si="70"/>
        <v>627.06052144882983</v>
      </c>
      <c r="L100" s="93">
        <f t="shared" si="71"/>
        <v>199.06734581632574</v>
      </c>
      <c r="M100" s="94">
        <f t="shared" si="72"/>
        <v>6.1524142648784919E-9</v>
      </c>
      <c r="N100" s="94">
        <f t="shared" si="73"/>
        <v>6.1524142648784927E-9</v>
      </c>
      <c r="O100" s="94">
        <f t="shared" si="74"/>
        <v>4.7940933317912516E-8</v>
      </c>
      <c r="P100" s="91">
        <f t="shared" si="75"/>
        <v>1.0644853444746147</v>
      </c>
      <c r="Q100" s="94">
        <f t="shared" si="76"/>
        <v>6.4485344474614736E-2</v>
      </c>
      <c r="R100" s="94">
        <f t="shared" si="77"/>
        <v>6.3269898143890479E-13</v>
      </c>
      <c r="S100" s="91">
        <v>-1</v>
      </c>
      <c r="T100" s="93">
        <f>FieldFox!AD100</f>
        <v>5.5</v>
      </c>
      <c r="U100" s="93">
        <f>FieldFox!AC100</f>
        <v>3.3947007644769931</v>
      </c>
      <c r="V100" s="93">
        <f>FieldFox!AE100</f>
        <v>2.1052992355230069</v>
      </c>
      <c r="W100" s="94">
        <f t="shared" si="78"/>
        <v>1.8054045564434553E-4</v>
      </c>
      <c r="X100" s="94">
        <f t="shared" si="79"/>
        <v>2.2980270150499131E-4</v>
      </c>
      <c r="Y100" s="94">
        <f t="shared" si="80"/>
        <v>2.9180918829824546E-4</v>
      </c>
      <c r="Z100" s="91">
        <f>IF(UsePreamp,Preamp!AF101,FieldFox!D100)</f>
        <v>0.3981071705534972</v>
      </c>
      <c r="AA100" s="91">
        <f t="shared" si="81"/>
        <v>0.40853898265363492</v>
      </c>
      <c r="AB100" s="91">
        <f>'User Cal. Noise Std'!AC101</f>
        <v>0.22</v>
      </c>
      <c r="AC100" s="91">
        <f>'User Cal. Noise Std'!AD101</f>
        <v>0.12</v>
      </c>
      <c r="AD100" s="91">
        <f>IF(UsePreamp,Preamp!AH101,0)</f>
        <v>0</v>
      </c>
      <c r="AE100" s="91">
        <f>DUT!AG101</f>
        <v>0.31622776601683794</v>
      </c>
      <c r="AF100" s="94">
        <f t="shared" si="82"/>
        <v>3.4307783771473645E-9</v>
      </c>
      <c r="AG100" s="94">
        <f t="shared" si="83"/>
        <v>0</v>
      </c>
      <c r="AH100" s="91">
        <f t="shared" si="90"/>
        <v>3.4307783771473645E-9</v>
      </c>
      <c r="AI100" s="94">
        <f t="shared" si="84"/>
        <v>0</v>
      </c>
      <c r="AJ100" s="94">
        <f t="shared" si="85"/>
        <v>0</v>
      </c>
      <c r="AK100" s="91">
        <f t="shared" si="91"/>
        <v>0</v>
      </c>
      <c r="AL100" s="94">
        <f t="shared" si="86"/>
        <v>2.1706739078933333E-12</v>
      </c>
      <c r="AM100" s="94">
        <f t="shared" si="92"/>
        <v>0</v>
      </c>
      <c r="AN100" s="91">
        <f t="shared" si="93"/>
        <v>2.1706739078933333E-12</v>
      </c>
      <c r="AO100" s="94">
        <f t="shared" si="87"/>
        <v>8.3477229028665889E-13</v>
      </c>
      <c r="AP100" s="94">
        <f t="shared" si="94"/>
        <v>2.2123492546640751E-10</v>
      </c>
      <c r="AQ100" s="94">
        <f t="shared" si="95"/>
        <v>2.212365003585609E-10</v>
      </c>
      <c r="AR100" s="94">
        <f t="shared" si="88"/>
        <v>6.5739166257273206E-13</v>
      </c>
      <c r="AS100" s="94">
        <f>B100*(10^('User Cal. Noise Std'!AB101/(ENRconf*10))-1)*R100</f>
        <v>3.5797739252760619E-11</v>
      </c>
      <c r="AT100" s="91">
        <f t="shared" si="96"/>
        <v>2.2412543634207295E-10</v>
      </c>
      <c r="AU100" s="93">
        <f>NseMeas!H100</f>
        <v>438.4470651377784</v>
      </c>
      <c r="AV100" s="93">
        <f>nSD*NseMeas!X100*AT100</f>
        <v>0.45686199573683128</v>
      </c>
      <c r="AW100" s="93">
        <f t="shared" si="97"/>
        <v>2.7229219493682755E-3</v>
      </c>
      <c r="AX100" s="93">
        <f>nSD*NseMeas!X100*AL100</f>
        <v>4.4247472747378329E-3</v>
      </c>
      <c r="AY100" s="93">
        <f t="shared" si="98"/>
        <v>2.6379919433336028E-5</v>
      </c>
      <c r="AZ100" s="93">
        <f>nSD*NseMeas!X100*AM100</f>
        <v>0</v>
      </c>
      <c r="BA100" s="93">
        <f t="shared" si="99"/>
        <v>0</v>
      </c>
      <c r="BB100" s="93">
        <f>nSD*NseMeas!X100*AO100</f>
        <v>1.7016173654831894E-3</v>
      </c>
      <c r="BC100" s="93">
        <f t="shared" si="100"/>
        <v>1.0144898708076197E-5</v>
      </c>
      <c r="BD100" s="93">
        <f>nSD*NseMeas!X100*AP100</f>
        <v>0.45096991767149286</v>
      </c>
      <c r="BE100" s="93">
        <f t="shared" si="101"/>
        <v>2.6878157133072068E-3</v>
      </c>
      <c r="BF100" s="93">
        <f>nSD*NseMeas!X100*AR100</f>
        <v>1.340040969224663E-3</v>
      </c>
      <c r="BG100" s="93">
        <f t="shared" si="102"/>
        <v>7.9892128201410378E-6</v>
      </c>
      <c r="BH100" s="91">
        <f t="shared" si="103"/>
        <v>4.9264185675817682E-3</v>
      </c>
      <c r="BI100" s="93">
        <f t="shared" si="104"/>
        <v>2.9370825516253739E-5</v>
      </c>
    </row>
    <row r="101" spans="1:61">
      <c r="A101" s="91">
        <f t="shared" si="89"/>
        <v>26.500001000000001</v>
      </c>
      <c r="B101" s="92">
        <f>T_0*(1+10^('User Cal. Noise Std'!AA102/10))</f>
        <v>4886.1902581372296</v>
      </c>
      <c r="C101" s="92">
        <f t="shared" ref="C101:C106" si="105">CalAmbient</f>
        <v>296</v>
      </c>
      <c r="D101" s="93">
        <f t="shared" ref="D101:D106" si="106">CalAmbient+FFAmbientOffset</f>
        <v>296</v>
      </c>
      <c r="E101" s="92">
        <f>IF(UsePreamp,T_0*(10^(Preamp!AE102/10)-1),0)</f>
        <v>627.06052144883006</v>
      </c>
      <c r="F101" s="92">
        <f>T_0*(10^((FieldFox!B101-kT0dB)/10)-1)</f>
        <v>45411.676407373438</v>
      </c>
      <c r="G101" s="93">
        <f>IF(UsePreamp,10^(Preamp!AD102/10),1)</f>
        <v>199.06734581632566</v>
      </c>
      <c r="H101" s="94">
        <f t="shared" ref="H101:H106" si="107">((B101+E101)*G101+F101)*k_mw*$F$2</f>
        <v>5.6331571950785328E-8</v>
      </c>
      <c r="I101" s="94">
        <f t="shared" ref="I101:I106" si="108">((C101+E101)*G101+F101)*k_mw*$F$2</f>
        <v>1.1294847333807005E-8</v>
      </c>
      <c r="J101" s="94">
        <f t="shared" ref="J101:J106" si="109">MIN(I101,(D101+F101)*k_mw*$F$2)</f>
        <v>2.2528134443143055E-9</v>
      </c>
      <c r="K101" s="95">
        <f t="shared" ref="K101:K106" si="110">(B101*I101-C101*H101-(B101-C101)*(J101-C101*k_mw*$F$2))/(H101-I101)</f>
        <v>627.06052144882983</v>
      </c>
      <c r="L101" s="93">
        <f t="shared" ref="L101:L106" si="111">(H101-I101)/(B101-C101)/k_mw/$F$2</f>
        <v>199.06734581632574</v>
      </c>
      <c r="M101" s="94">
        <f t="shared" ref="M101:M106" si="112">((B101*I101-C101*H101)/(B101-C101))-(J101-C101*k_mw*$F$2)</f>
        <v>6.1524142648784919E-9</v>
      </c>
      <c r="N101" s="94">
        <f t="shared" ref="N101:N106" si="113">E101*G101*k_mw*BW</f>
        <v>6.1524142648784927E-9</v>
      </c>
      <c r="O101" s="94">
        <f t="shared" ref="O101:O106" si="114">B101*G101*k_mw*BW</f>
        <v>4.7940933317912516E-8</v>
      </c>
      <c r="P101" s="91">
        <f t="shared" ref="P101:P106" si="115">B101/(B101-C101)</f>
        <v>1.0644853444746147</v>
      </c>
      <c r="Q101" s="94">
        <f t="shared" ref="Q101:Q106" si="116">C101/(B101-C101)</f>
        <v>6.4485344474614736E-2</v>
      </c>
      <c r="R101" s="94">
        <f t="shared" ref="R101:R106" si="117">(C101*(H101-I101))/((B101-C101)^2)</f>
        <v>6.3269898143890479E-13</v>
      </c>
      <c r="S101" s="91">
        <v>-1</v>
      </c>
      <c r="T101" s="93">
        <f>FieldFox!AD101</f>
        <v>5.5</v>
      </c>
      <c r="U101" s="93">
        <f>FieldFox!AC101</f>
        <v>3.3947007644769931</v>
      </c>
      <c r="V101" s="93">
        <f>FieldFox!AE101</f>
        <v>2.1052992355230069</v>
      </c>
      <c r="W101" s="94">
        <f t="shared" ref="W101:W106" si="118">Jitter1H1s/SQRT(BW*T101)</f>
        <v>1.8054045564434553E-4</v>
      </c>
      <c r="X101" s="94">
        <f t="shared" ref="X101:X106" si="119">Jitter1H1s/SQRT(BW*U101)</f>
        <v>2.2980270150499131E-4</v>
      </c>
      <c r="Y101" s="94">
        <f t="shared" ref="Y101:Y106" si="120">Jitter1H1s/SQRT(BW*V101)</f>
        <v>2.9180918829824546E-4</v>
      </c>
      <c r="Z101" s="91">
        <f>IF(UsePreamp,Preamp!AF102,FieldFox!D101)</f>
        <v>0.3981071705534972</v>
      </c>
      <c r="AA101" s="91">
        <f t="shared" ref="AA101:AA106" si="121">IF(UsePreamp,PreampGamConf,MagLimited)</f>
        <v>0.40853898265363492</v>
      </c>
      <c r="AB101" s="91">
        <f>'User Cal. Noise Std'!AC102</f>
        <v>0.22</v>
      </c>
      <c r="AC101" s="91">
        <f>'User Cal. Noise Std'!AD102</f>
        <v>0.12</v>
      </c>
      <c r="AD101" s="91">
        <f>IF(UsePreamp,Preamp!AH102,0)</f>
        <v>0</v>
      </c>
      <c r="AE101" s="91">
        <f>DUT!AG102</f>
        <v>0.31622776601683794</v>
      </c>
      <c r="AF101" s="94">
        <f t="shared" ref="AF101:AF106" si="122">O101*2*SQRT(2)*Z101*AA101*AB101*NseSrcConf</f>
        <v>3.4307783771473645E-9</v>
      </c>
      <c r="AG101" s="94">
        <f t="shared" ref="AG101:AG106" si="123">N101*2*SQRT(2)*AD101*AA101*AB101*NseSrcConf</f>
        <v>0</v>
      </c>
      <c r="AH101" s="91">
        <f t="shared" si="90"/>
        <v>3.4307783771473645E-9</v>
      </c>
      <c r="AI101" s="94">
        <f t="shared" ref="AI101:AI106" si="124">N101*2*SQRT(2)*AD101*AA101*AC101*NseSrcConf</f>
        <v>0</v>
      </c>
      <c r="AJ101" s="94">
        <f t="shared" ref="AJ101:AJ106" si="125">N101*2*SQRT(2)*AD101*AA101*AE101*DUTgamConf</f>
        <v>0</v>
      </c>
      <c r="AK101" s="91">
        <f t="shared" si="91"/>
        <v>0</v>
      </c>
      <c r="AL101" s="94">
        <f t="shared" ref="AL101:AL106" si="126">W101*I101*P101</f>
        <v>2.1706739078933333E-12</v>
      </c>
      <c r="AM101" s="94">
        <f t="shared" si="92"/>
        <v>0</v>
      </c>
      <c r="AN101" s="91">
        <f t="shared" si="93"/>
        <v>2.1706739078933333E-12</v>
      </c>
      <c r="AO101" s="94">
        <f t="shared" ref="AO101:AO106" si="127">X101*H101*Q101</f>
        <v>8.3477229028665889E-13</v>
      </c>
      <c r="AP101" s="94">
        <f t="shared" si="94"/>
        <v>2.2123492546640751E-10</v>
      </c>
      <c r="AQ101" s="94">
        <f t="shared" si="95"/>
        <v>2.212365003585609E-10</v>
      </c>
      <c r="AR101" s="94">
        <f t="shared" ref="AR101:AR106" si="128">ABS(Y101*J101*S101)</f>
        <v>6.5739166257273206E-13</v>
      </c>
      <c r="AS101" s="94">
        <f>B101*(10^('User Cal. Noise Std'!AB102/(ENRconf*10))-1)*R101</f>
        <v>3.5797739252760619E-11</v>
      </c>
      <c r="AT101" s="91">
        <f t="shared" si="96"/>
        <v>2.2412543634207295E-10</v>
      </c>
      <c r="AU101" s="93">
        <f>NseMeas!H101</f>
        <v>438.4470651377784</v>
      </c>
      <c r="AV101" s="93">
        <f>nSD*NseMeas!X101*AT101</f>
        <v>0.45686199573683128</v>
      </c>
      <c r="AW101" s="93">
        <f t="shared" si="97"/>
        <v>2.7229219493682755E-3</v>
      </c>
      <c r="AX101" s="93">
        <f>nSD*NseMeas!X101*AL101</f>
        <v>4.4247472747378329E-3</v>
      </c>
      <c r="AY101" s="93">
        <f t="shared" si="98"/>
        <v>2.6379919433336028E-5</v>
      </c>
      <c r="AZ101" s="93">
        <f>nSD*NseMeas!X101*AM101</f>
        <v>0</v>
      </c>
      <c r="BA101" s="93">
        <f t="shared" si="99"/>
        <v>0</v>
      </c>
      <c r="BB101" s="93">
        <f>nSD*NseMeas!X101*AO101</f>
        <v>1.7016173654831894E-3</v>
      </c>
      <c r="BC101" s="93">
        <f t="shared" si="100"/>
        <v>1.0144898708076197E-5</v>
      </c>
      <c r="BD101" s="93">
        <f>nSD*NseMeas!X101*AP101</f>
        <v>0.45096991767149286</v>
      </c>
      <c r="BE101" s="93">
        <f t="shared" si="101"/>
        <v>2.6878157133072068E-3</v>
      </c>
      <c r="BF101" s="93">
        <f>nSD*NseMeas!X101*AR101</f>
        <v>1.340040969224663E-3</v>
      </c>
      <c r="BG101" s="93">
        <f t="shared" si="102"/>
        <v>7.9892128201410378E-6</v>
      </c>
      <c r="BH101" s="91">
        <f t="shared" si="103"/>
        <v>4.9264185675817682E-3</v>
      </c>
      <c r="BI101" s="93">
        <f t="shared" si="104"/>
        <v>2.9370825516253739E-5</v>
      </c>
    </row>
    <row r="102" spans="1:61">
      <c r="A102" s="91">
        <f t="shared" si="89"/>
        <v>26.500001000000001</v>
      </c>
      <c r="B102" s="92">
        <f>T_0*(1+10^('User Cal. Noise Std'!AA103/10))</f>
        <v>4886.1902581372296</v>
      </c>
      <c r="C102" s="92">
        <f t="shared" si="105"/>
        <v>296</v>
      </c>
      <c r="D102" s="93">
        <f t="shared" si="106"/>
        <v>296</v>
      </c>
      <c r="E102" s="92">
        <f>IF(UsePreamp,T_0*(10^(Preamp!AE103/10)-1),0)</f>
        <v>627.06052144883006</v>
      </c>
      <c r="F102" s="92">
        <f>T_0*(10^((FieldFox!B102-kT0dB)/10)-1)</f>
        <v>45411.676407373438</v>
      </c>
      <c r="G102" s="93">
        <f>IF(UsePreamp,10^(Preamp!AD103/10),1)</f>
        <v>199.06734581632566</v>
      </c>
      <c r="H102" s="94">
        <f t="shared" si="107"/>
        <v>5.6331571950785328E-8</v>
      </c>
      <c r="I102" s="94">
        <f t="shared" si="108"/>
        <v>1.1294847333807005E-8</v>
      </c>
      <c r="J102" s="94">
        <f t="shared" si="109"/>
        <v>2.2528134443143055E-9</v>
      </c>
      <c r="K102" s="95">
        <f t="shared" si="110"/>
        <v>627.06052144882983</v>
      </c>
      <c r="L102" s="93">
        <f t="shared" si="111"/>
        <v>199.06734581632574</v>
      </c>
      <c r="M102" s="94">
        <f t="shared" si="112"/>
        <v>6.1524142648784919E-9</v>
      </c>
      <c r="N102" s="94">
        <f t="shared" si="113"/>
        <v>6.1524142648784927E-9</v>
      </c>
      <c r="O102" s="94">
        <f t="shared" si="114"/>
        <v>4.7940933317912516E-8</v>
      </c>
      <c r="P102" s="91">
        <f t="shared" si="115"/>
        <v>1.0644853444746147</v>
      </c>
      <c r="Q102" s="94">
        <f t="shared" si="116"/>
        <v>6.4485344474614736E-2</v>
      </c>
      <c r="R102" s="94">
        <f t="shared" si="117"/>
        <v>6.3269898143890479E-13</v>
      </c>
      <c r="S102" s="91">
        <v>-1</v>
      </c>
      <c r="T102" s="93">
        <f>FieldFox!AD102</f>
        <v>5.5</v>
      </c>
      <c r="U102" s="93">
        <f>FieldFox!AC102</f>
        <v>3.3947007644769931</v>
      </c>
      <c r="V102" s="93">
        <f>FieldFox!AE102</f>
        <v>2.1052992355230069</v>
      </c>
      <c r="W102" s="94">
        <f t="shared" si="118"/>
        <v>1.8054045564434553E-4</v>
      </c>
      <c r="X102" s="94">
        <f t="shared" si="119"/>
        <v>2.2980270150499131E-4</v>
      </c>
      <c r="Y102" s="94">
        <f t="shared" si="120"/>
        <v>2.9180918829824546E-4</v>
      </c>
      <c r="Z102" s="91">
        <f>IF(UsePreamp,Preamp!AF103,FieldFox!D102)</f>
        <v>0.3981071705534972</v>
      </c>
      <c r="AA102" s="91">
        <f t="shared" si="121"/>
        <v>0.40853898265363492</v>
      </c>
      <c r="AB102" s="91">
        <f>'User Cal. Noise Std'!AC103</f>
        <v>0.22</v>
      </c>
      <c r="AC102" s="91">
        <f>'User Cal. Noise Std'!AD103</f>
        <v>0.12</v>
      </c>
      <c r="AD102" s="91">
        <f>IF(UsePreamp,Preamp!AH103,0)</f>
        <v>0</v>
      </c>
      <c r="AE102" s="91">
        <f>DUT!AG103</f>
        <v>0.31622776601683794</v>
      </c>
      <c r="AF102" s="94">
        <f t="shared" si="122"/>
        <v>3.4307783771473645E-9</v>
      </c>
      <c r="AG102" s="94">
        <f t="shared" si="123"/>
        <v>0</v>
      </c>
      <c r="AH102" s="91">
        <f t="shared" si="90"/>
        <v>3.4307783771473645E-9</v>
      </c>
      <c r="AI102" s="94">
        <f t="shared" si="124"/>
        <v>0</v>
      </c>
      <c r="AJ102" s="94">
        <f t="shared" si="125"/>
        <v>0</v>
      </c>
      <c r="AK102" s="91">
        <f t="shared" si="91"/>
        <v>0</v>
      </c>
      <c r="AL102" s="94">
        <f t="shared" si="126"/>
        <v>2.1706739078933333E-12</v>
      </c>
      <c r="AM102" s="94">
        <f t="shared" si="92"/>
        <v>0</v>
      </c>
      <c r="AN102" s="91">
        <f t="shared" si="93"/>
        <v>2.1706739078933333E-12</v>
      </c>
      <c r="AO102" s="94">
        <f t="shared" si="127"/>
        <v>8.3477229028665889E-13</v>
      </c>
      <c r="AP102" s="94">
        <f t="shared" si="94"/>
        <v>2.2123492546640751E-10</v>
      </c>
      <c r="AQ102" s="94">
        <f t="shared" si="95"/>
        <v>2.212365003585609E-10</v>
      </c>
      <c r="AR102" s="94">
        <f t="shared" si="128"/>
        <v>6.5739166257273206E-13</v>
      </c>
      <c r="AS102" s="94">
        <f>B102*(10^('User Cal. Noise Std'!AB103/(ENRconf*10))-1)*R102</f>
        <v>3.5797739252760619E-11</v>
      </c>
      <c r="AT102" s="91">
        <f t="shared" si="96"/>
        <v>2.2412543634207295E-10</v>
      </c>
      <c r="AU102" s="93">
        <f>NseMeas!H102</f>
        <v>438.4470651377784</v>
      </c>
      <c r="AV102" s="93">
        <f>nSD*NseMeas!X102*AT102</f>
        <v>0.45686199573683128</v>
      </c>
      <c r="AW102" s="93">
        <f t="shared" si="97"/>
        <v>2.7229219493682755E-3</v>
      </c>
      <c r="AX102" s="93">
        <f>nSD*NseMeas!X102*AL102</f>
        <v>4.4247472747378329E-3</v>
      </c>
      <c r="AY102" s="93">
        <f t="shared" si="98"/>
        <v>2.6379919433336028E-5</v>
      </c>
      <c r="AZ102" s="93">
        <f>nSD*NseMeas!X102*AM102</f>
        <v>0</v>
      </c>
      <c r="BA102" s="93">
        <f t="shared" si="99"/>
        <v>0</v>
      </c>
      <c r="BB102" s="93">
        <f>nSD*NseMeas!X102*AO102</f>
        <v>1.7016173654831894E-3</v>
      </c>
      <c r="BC102" s="93">
        <f t="shared" si="100"/>
        <v>1.0144898708076197E-5</v>
      </c>
      <c r="BD102" s="93">
        <f>nSD*NseMeas!X102*AP102</f>
        <v>0.45096991767149286</v>
      </c>
      <c r="BE102" s="93">
        <f t="shared" si="101"/>
        <v>2.6878157133072068E-3</v>
      </c>
      <c r="BF102" s="93">
        <f>nSD*NseMeas!X102*AR102</f>
        <v>1.340040969224663E-3</v>
      </c>
      <c r="BG102" s="93">
        <f t="shared" si="102"/>
        <v>7.9892128201410378E-6</v>
      </c>
      <c r="BH102" s="91">
        <f t="shared" si="103"/>
        <v>4.9264185675817682E-3</v>
      </c>
      <c r="BI102" s="93">
        <f t="shared" si="104"/>
        <v>2.9370825516253739E-5</v>
      </c>
    </row>
    <row r="103" spans="1:61">
      <c r="A103" s="91">
        <f t="shared" si="89"/>
        <v>26.500001000000001</v>
      </c>
      <c r="B103" s="92">
        <f>T_0*(1+10^('User Cal. Noise Std'!AA104/10))</f>
        <v>4886.1902581372296</v>
      </c>
      <c r="C103" s="92">
        <f t="shared" si="105"/>
        <v>296</v>
      </c>
      <c r="D103" s="93">
        <f t="shared" si="106"/>
        <v>296</v>
      </c>
      <c r="E103" s="92">
        <f>IF(UsePreamp,T_0*(10^(Preamp!AE104/10)-1),0)</f>
        <v>627.06052144883006</v>
      </c>
      <c r="F103" s="92">
        <f>T_0*(10^((FieldFox!B103-kT0dB)/10)-1)</f>
        <v>45411.676407373438</v>
      </c>
      <c r="G103" s="93">
        <f>IF(UsePreamp,10^(Preamp!AD104/10),1)</f>
        <v>199.06734581632566</v>
      </c>
      <c r="H103" s="94">
        <f t="shared" si="107"/>
        <v>5.6331571950785328E-8</v>
      </c>
      <c r="I103" s="94">
        <f t="shared" si="108"/>
        <v>1.1294847333807005E-8</v>
      </c>
      <c r="J103" s="94">
        <f t="shared" si="109"/>
        <v>2.2528134443143055E-9</v>
      </c>
      <c r="K103" s="95">
        <f t="shared" si="110"/>
        <v>627.06052144882983</v>
      </c>
      <c r="L103" s="93">
        <f t="shared" si="111"/>
        <v>199.06734581632574</v>
      </c>
      <c r="M103" s="94">
        <f t="shared" si="112"/>
        <v>6.1524142648784919E-9</v>
      </c>
      <c r="N103" s="94">
        <f t="shared" si="113"/>
        <v>6.1524142648784927E-9</v>
      </c>
      <c r="O103" s="94">
        <f t="shared" si="114"/>
        <v>4.7940933317912516E-8</v>
      </c>
      <c r="P103" s="91">
        <f t="shared" si="115"/>
        <v>1.0644853444746147</v>
      </c>
      <c r="Q103" s="94">
        <f t="shared" si="116"/>
        <v>6.4485344474614736E-2</v>
      </c>
      <c r="R103" s="94">
        <f t="shared" si="117"/>
        <v>6.3269898143890479E-13</v>
      </c>
      <c r="S103" s="91">
        <v>-1</v>
      </c>
      <c r="T103" s="93">
        <f>FieldFox!AD103</f>
        <v>5.5</v>
      </c>
      <c r="U103" s="93">
        <f>FieldFox!AC103</f>
        <v>3.3947007644769931</v>
      </c>
      <c r="V103" s="93">
        <f>FieldFox!AE103</f>
        <v>2.1052992355230069</v>
      </c>
      <c r="W103" s="94">
        <f t="shared" si="118"/>
        <v>1.8054045564434553E-4</v>
      </c>
      <c r="X103" s="94">
        <f t="shared" si="119"/>
        <v>2.2980270150499131E-4</v>
      </c>
      <c r="Y103" s="94">
        <f t="shared" si="120"/>
        <v>2.9180918829824546E-4</v>
      </c>
      <c r="Z103" s="91">
        <f>IF(UsePreamp,Preamp!AF104,FieldFox!D103)</f>
        <v>0.3981071705534972</v>
      </c>
      <c r="AA103" s="91">
        <f t="shared" si="121"/>
        <v>0.40853898265363492</v>
      </c>
      <c r="AB103" s="91">
        <f>'User Cal. Noise Std'!AC104</f>
        <v>0.22</v>
      </c>
      <c r="AC103" s="91">
        <f>'User Cal. Noise Std'!AD104</f>
        <v>0.12</v>
      </c>
      <c r="AD103" s="91">
        <f>IF(UsePreamp,Preamp!AH104,0)</f>
        <v>0</v>
      </c>
      <c r="AE103" s="91">
        <f>DUT!AG104</f>
        <v>0.31622776601683794</v>
      </c>
      <c r="AF103" s="94">
        <f t="shared" si="122"/>
        <v>3.4307783771473645E-9</v>
      </c>
      <c r="AG103" s="94">
        <f t="shared" si="123"/>
        <v>0</v>
      </c>
      <c r="AH103" s="91">
        <f t="shared" si="90"/>
        <v>3.4307783771473645E-9</v>
      </c>
      <c r="AI103" s="94">
        <f t="shared" si="124"/>
        <v>0</v>
      </c>
      <c r="AJ103" s="94">
        <f t="shared" si="125"/>
        <v>0</v>
      </c>
      <c r="AK103" s="91">
        <f t="shared" si="91"/>
        <v>0</v>
      </c>
      <c r="AL103" s="94">
        <f t="shared" si="126"/>
        <v>2.1706739078933333E-12</v>
      </c>
      <c r="AM103" s="94">
        <f t="shared" si="92"/>
        <v>0</v>
      </c>
      <c r="AN103" s="91">
        <f t="shared" si="93"/>
        <v>2.1706739078933333E-12</v>
      </c>
      <c r="AO103" s="94">
        <f t="shared" si="127"/>
        <v>8.3477229028665889E-13</v>
      </c>
      <c r="AP103" s="94">
        <f t="shared" si="94"/>
        <v>2.2123492546640751E-10</v>
      </c>
      <c r="AQ103" s="94">
        <f t="shared" si="95"/>
        <v>2.212365003585609E-10</v>
      </c>
      <c r="AR103" s="94">
        <f t="shared" si="128"/>
        <v>6.5739166257273206E-13</v>
      </c>
      <c r="AS103" s="94">
        <f>B103*(10^('User Cal. Noise Std'!AB104/(ENRconf*10))-1)*R103</f>
        <v>3.5797739252760619E-11</v>
      </c>
      <c r="AT103" s="91">
        <f t="shared" si="96"/>
        <v>2.2412543634207295E-10</v>
      </c>
      <c r="AU103" s="93">
        <f>NseMeas!H103</f>
        <v>438.4470651377784</v>
      </c>
      <c r="AV103" s="93">
        <f>nSD*NseMeas!X103*AT103</f>
        <v>0.45686199573683128</v>
      </c>
      <c r="AW103" s="93">
        <f t="shared" si="97"/>
        <v>2.7229219493682755E-3</v>
      </c>
      <c r="AX103" s="93">
        <f>nSD*NseMeas!X103*AL103</f>
        <v>4.4247472747378329E-3</v>
      </c>
      <c r="AY103" s="93">
        <f t="shared" si="98"/>
        <v>2.6379919433336028E-5</v>
      </c>
      <c r="AZ103" s="93">
        <f>nSD*NseMeas!X103*AM103</f>
        <v>0</v>
      </c>
      <c r="BA103" s="93">
        <f t="shared" si="99"/>
        <v>0</v>
      </c>
      <c r="BB103" s="93">
        <f>nSD*NseMeas!X103*AO103</f>
        <v>1.7016173654831894E-3</v>
      </c>
      <c r="BC103" s="93">
        <f t="shared" si="100"/>
        <v>1.0144898708076197E-5</v>
      </c>
      <c r="BD103" s="93">
        <f>nSD*NseMeas!X103*AP103</f>
        <v>0.45096991767149286</v>
      </c>
      <c r="BE103" s="93">
        <f t="shared" si="101"/>
        <v>2.6878157133072068E-3</v>
      </c>
      <c r="BF103" s="93">
        <f>nSD*NseMeas!X103*AR103</f>
        <v>1.340040969224663E-3</v>
      </c>
      <c r="BG103" s="93">
        <f t="shared" si="102"/>
        <v>7.9892128201410378E-6</v>
      </c>
      <c r="BH103" s="91">
        <f t="shared" si="103"/>
        <v>4.9264185675817682E-3</v>
      </c>
      <c r="BI103" s="93">
        <f t="shared" si="104"/>
        <v>2.9370825516253739E-5</v>
      </c>
    </row>
    <row r="104" spans="1:61">
      <c r="A104" s="91">
        <f t="shared" si="89"/>
        <v>26.500001000000001</v>
      </c>
      <c r="B104" s="92">
        <f>T_0*(1+10^('User Cal. Noise Std'!AA105/10))</f>
        <v>4886.1902581372296</v>
      </c>
      <c r="C104" s="92">
        <f t="shared" si="105"/>
        <v>296</v>
      </c>
      <c r="D104" s="93">
        <f t="shared" si="106"/>
        <v>296</v>
      </c>
      <c r="E104" s="92">
        <f>IF(UsePreamp,T_0*(10^(Preamp!AE105/10)-1),0)</f>
        <v>627.06052144883006</v>
      </c>
      <c r="F104" s="92">
        <f>T_0*(10^((FieldFox!B104-kT0dB)/10)-1)</f>
        <v>45411.676407373438</v>
      </c>
      <c r="G104" s="93">
        <f>IF(UsePreamp,10^(Preamp!AD105/10),1)</f>
        <v>199.06734581632566</v>
      </c>
      <c r="H104" s="94">
        <f t="shared" si="107"/>
        <v>5.6331571950785328E-8</v>
      </c>
      <c r="I104" s="94">
        <f t="shared" si="108"/>
        <v>1.1294847333807005E-8</v>
      </c>
      <c r="J104" s="94">
        <f t="shared" si="109"/>
        <v>2.2528134443143055E-9</v>
      </c>
      <c r="K104" s="95">
        <f t="shared" si="110"/>
        <v>627.06052144882983</v>
      </c>
      <c r="L104" s="93">
        <f t="shared" si="111"/>
        <v>199.06734581632574</v>
      </c>
      <c r="M104" s="94">
        <f t="shared" si="112"/>
        <v>6.1524142648784919E-9</v>
      </c>
      <c r="N104" s="94">
        <f t="shared" si="113"/>
        <v>6.1524142648784927E-9</v>
      </c>
      <c r="O104" s="94">
        <f t="shared" si="114"/>
        <v>4.7940933317912516E-8</v>
      </c>
      <c r="P104" s="91">
        <f t="shared" si="115"/>
        <v>1.0644853444746147</v>
      </c>
      <c r="Q104" s="94">
        <f t="shared" si="116"/>
        <v>6.4485344474614736E-2</v>
      </c>
      <c r="R104" s="94">
        <f t="shared" si="117"/>
        <v>6.3269898143890479E-13</v>
      </c>
      <c r="S104" s="91">
        <v>-1</v>
      </c>
      <c r="T104" s="93">
        <f>FieldFox!AD104</f>
        <v>5.5</v>
      </c>
      <c r="U104" s="93">
        <f>FieldFox!AC104</f>
        <v>3.3947007644769931</v>
      </c>
      <c r="V104" s="93">
        <f>FieldFox!AE104</f>
        <v>2.1052992355230069</v>
      </c>
      <c r="W104" s="94">
        <f t="shared" si="118"/>
        <v>1.8054045564434553E-4</v>
      </c>
      <c r="X104" s="94">
        <f t="shared" si="119"/>
        <v>2.2980270150499131E-4</v>
      </c>
      <c r="Y104" s="94">
        <f t="shared" si="120"/>
        <v>2.9180918829824546E-4</v>
      </c>
      <c r="Z104" s="91">
        <f>IF(UsePreamp,Preamp!AF105,FieldFox!D104)</f>
        <v>0.3981071705534972</v>
      </c>
      <c r="AA104" s="91">
        <f t="shared" si="121"/>
        <v>0.40853898265363492</v>
      </c>
      <c r="AB104" s="91">
        <f>'User Cal. Noise Std'!AC105</f>
        <v>0.22</v>
      </c>
      <c r="AC104" s="91">
        <f>'User Cal. Noise Std'!AD105</f>
        <v>0.12</v>
      </c>
      <c r="AD104" s="91">
        <f>IF(UsePreamp,Preamp!AH105,0)</f>
        <v>0</v>
      </c>
      <c r="AE104" s="91">
        <f>DUT!AG105</f>
        <v>0.31622776601683794</v>
      </c>
      <c r="AF104" s="94">
        <f t="shared" si="122"/>
        <v>3.4307783771473645E-9</v>
      </c>
      <c r="AG104" s="94">
        <f t="shared" si="123"/>
        <v>0</v>
      </c>
      <c r="AH104" s="91">
        <f t="shared" si="90"/>
        <v>3.4307783771473645E-9</v>
      </c>
      <c r="AI104" s="94">
        <f t="shared" si="124"/>
        <v>0</v>
      </c>
      <c r="AJ104" s="94">
        <f t="shared" si="125"/>
        <v>0</v>
      </c>
      <c r="AK104" s="91">
        <f t="shared" si="91"/>
        <v>0</v>
      </c>
      <c r="AL104" s="94">
        <f t="shared" si="126"/>
        <v>2.1706739078933333E-12</v>
      </c>
      <c r="AM104" s="94">
        <f t="shared" si="92"/>
        <v>0</v>
      </c>
      <c r="AN104" s="91">
        <f t="shared" si="93"/>
        <v>2.1706739078933333E-12</v>
      </c>
      <c r="AO104" s="94">
        <f t="shared" si="127"/>
        <v>8.3477229028665889E-13</v>
      </c>
      <c r="AP104" s="94">
        <f t="shared" si="94"/>
        <v>2.2123492546640751E-10</v>
      </c>
      <c r="AQ104" s="94">
        <f t="shared" si="95"/>
        <v>2.212365003585609E-10</v>
      </c>
      <c r="AR104" s="94">
        <f t="shared" si="128"/>
        <v>6.5739166257273206E-13</v>
      </c>
      <c r="AS104" s="94">
        <f>B104*(10^('User Cal. Noise Std'!AB105/(ENRconf*10))-1)*R104</f>
        <v>3.5797739252760619E-11</v>
      </c>
      <c r="AT104" s="91">
        <f t="shared" si="96"/>
        <v>2.2412543634207295E-10</v>
      </c>
      <c r="AU104" s="93">
        <f>NseMeas!H104</f>
        <v>438.4470651377784</v>
      </c>
      <c r="AV104" s="93">
        <f>nSD*NseMeas!X104*AT104</f>
        <v>0.45686199573683128</v>
      </c>
      <c r="AW104" s="93">
        <f t="shared" si="97"/>
        <v>2.7229219493682755E-3</v>
      </c>
      <c r="AX104" s="93">
        <f>nSD*NseMeas!X104*AL104</f>
        <v>4.4247472747378329E-3</v>
      </c>
      <c r="AY104" s="93">
        <f t="shared" si="98"/>
        <v>2.6379919433336028E-5</v>
      </c>
      <c r="AZ104" s="93">
        <f>nSD*NseMeas!X104*AM104</f>
        <v>0</v>
      </c>
      <c r="BA104" s="93">
        <f t="shared" si="99"/>
        <v>0</v>
      </c>
      <c r="BB104" s="93">
        <f>nSD*NseMeas!X104*AO104</f>
        <v>1.7016173654831894E-3</v>
      </c>
      <c r="BC104" s="93">
        <f t="shared" si="100"/>
        <v>1.0144898708076197E-5</v>
      </c>
      <c r="BD104" s="93">
        <f>nSD*NseMeas!X104*AP104</f>
        <v>0.45096991767149286</v>
      </c>
      <c r="BE104" s="93">
        <f t="shared" si="101"/>
        <v>2.6878157133072068E-3</v>
      </c>
      <c r="BF104" s="93">
        <f>nSD*NseMeas!X104*AR104</f>
        <v>1.340040969224663E-3</v>
      </c>
      <c r="BG104" s="93">
        <f t="shared" si="102"/>
        <v>7.9892128201410378E-6</v>
      </c>
      <c r="BH104" s="91">
        <f t="shared" si="103"/>
        <v>4.9264185675817682E-3</v>
      </c>
      <c r="BI104" s="93">
        <f t="shared" si="104"/>
        <v>2.9370825516253739E-5</v>
      </c>
    </row>
    <row r="105" spans="1:61">
      <c r="A105" s="91">
        <f t="shared" si="89"/>
        <v>26.500001000000001</v>
      </c>
      <c r="B105" s="92">
        <f>T_0*(1+10^('User Cal. Noise Std'!AA106/10))</f>
        <v>4886.1902581372296</v>
      </c>
      <c r="C105" s="92">
        <f t="shared" si="105"/>
        <v>296</v>
      </c>
      <c r="D105" s="93">
        <f t="shared" si="106"/>
        <v>296</v>
      </c>
      <c r="E105" s="92">
        <f>IF(UsePreamp,T_0*(10^(Preamp!AE106/10)-1),0)</f>
        <v>627.06052144883006</v>
      </c>
      <c r="F105" s="92">
        <f>T_0*(10^((FieldFox!B105-kT0dB)/10)-1)</f>
        <v>45411.676407373438</v>
      </c>
      <c r="G105" s="93">
        <f>IF(UsePreamp,10^(Preamp!AD106/10),1)</f>
        <v>199.06734581632566</v>
      </c>
      <c r="H105" s="94">
        <f t="shared" si="107"/>
        <v>5.6331571950785328E-8</v>
      </c>
      <c r="I105" s="94">
        <f t="shared" si="108"/>
        <v>1.1294847333807005E-8</v>
      </c>
      <c r="J105" s="94">
        <f t="shared" si="109"/>
        <v>2.2528134443143055E-9</v>
      </c>
      <c r="K105" s="95">
        <f t="shared" si="110"/>
        <v>627.06052144882983</v>
      </c>
      <c r="L105" s="93">
        <f t="shared" si="111"/>
        <v>199.06734581632574</v>
      </c>
      <c r="M105" s="94">
        <f t="shared" si="112"/>
        <v>6.1524142648784919E-9</v>
      </c>
      <c r="N105" s="94">
        <f t="shared" si="113"/>
        <v>6.1524142648784927E-9</v>
      </c>
      <c r="O105" s="94">
        <f t="shared" si="114"/>
        <v>4.7940933317912516E-8</v>
      </c>
      <c r="P105" s="91">
        <f t="shared" si="115"/>
        <v>1.0644853444746147</v>
      </c>
      <c r="Q105" s="94">
        <f t="shared" si="116"/>
        <v>6.4485344474614736E-2</v>
      </c>
      <c r="R105" s="94">
        <f t="shared" si="117"/>
        <v>6.3269898143890479E-13</v>
      </c>
      <c r="S105" s="91">
        <v>-1</v>
      </c>
      <c r="T105" s="93">
        <f>FieldFox!AD105</f>
        <v>5.5</v>
      </c>
      <c r="U105" s="93">
        <f>FieldFox!AC105</f>
        <v>3.3947007644769931</v>
      </c>
      <c r="V105" s="93">
        <f>FieldFox!AE105</f>
        <v>2.1052992355230069</v>
      </c>
      <c r="W105" s="94">
        <f t="shared" si="118"/>
        <v>1.8054045564434553E-4</v>
      </c>
      <c r="X105" s="94">
        <f t="shared" si="119"/>
        <v>2.2980270150499131E-4</v>
      </c>
      <c r="Y105" s="94">
        <f t="shared" si="120"/>
        <v>2.9180918829824546E-4</v>
      </c>
      <c r="Z105" s="91">
        <f>IF(UsePreamp,Preamp!AF106,FieldFox!D105)</f>
        <v>0.3981071705534972</v>
      </c>
      <c r="AA105" s="91">
        <f t="shared" si="121"/>
        <v>0.40853898265363492</v>
      </c>
      <c r="AB105" s="91">
        <f>'User Cal. Noise Std'!AC106</f>
        <v>0.22</v>
      </c>
      <c r="AC105" s="91">
        <f>'User Cal. Noise Std'!AD106</f>
        <v>0.12</v>
      </c>
      <c r="AD105" s="91">
        <f>IF(UsePreamp,Preamp!AH106,0)</f>
        <v>0</v>
      </c>
      <c r="AE105" s="91">
        <f>DUT!AG106</f>
        <v>0.31622776601683794</v>
      </c>
      <c r="AF105" s="94">
        <f t="shared" si="122"/>
        <v>3.4307783771473645E-9</v>
      </c>
      <c r="AG105" s="94">
        <f t="shared" si="123"/>
        <v>0</v>
      </c>
      <c r="AH105" s="91">
        <f t="shared" si="90"/>
        <v>3.4307783771473645E-9</v>
      </c>
      <c r="AI105" s="94">
        <f t="shared" si="124"/>
        <v>0</v>
      </c>
      <c r="AJ105" s="94">
        <f t="shared" si="125"/>
        <v>0</v>
      </c>
      <c r="AK105" s="91">
        <f t="shared" si="91"/>
        <v>0</v>
      </c>
      <c r="AL105" s="94">
        <f t="shared" si="126"/>
        <v>2.1706739078933333E-12</v>
      </c>
      <c r="AM105" s="94">
        <f t="shared" si="92"/>
        <v>0</v>
      </c>
      <c r="AN105" s="91">
        <f t="shared" si="93"/>
        <v>2.1706739078933333E-12</v>
      </c>
      <c r="AO105" s="94">
        <f t="shared" si="127"/>
        <v>8.3477229028665889E-13</v>
      </c>
      <c r="AP105" s="94">
        <f t="shared" si="94"/>
        <v>2.2123492546640751E-10</v>
      </c>
      <c r="AQ105" s="94">
        <f t="shared" si="95"/>
        <v>2.212365003585609E-10</v>
      </c>
      <c r="AR105" s="94">
        <f t="shared" si="128"/>
        <v>6.5739166257273206E-13</v>
      </c>
      <c r="AS105" s="94">
        <f>B105*(10^('User Cal. Noise Std'!AB106/(ENRconf*10))-1)*R105</f>
        <v>3.5797739252760619E-11</v>
      </c>
      <c r="AT105" s="91">
        <f t="shared" si="96"/>
        <v>2.2412543634207295E-10</v>
      </c>
      <c r="AU105" s="93">
        <f>NseMeas!H105</f>
        <v>438.4470651377784</v>
      </c>
      <c r="AV105" s="93">
        <f>nSD*NseMeas!X105*AT105</f>
        <v>0.45686199573683128</v>
      </c>
      <c r="AW105" s="93">
        <f t="shared" si="97"/>
        <v>2.7229219493682755E-3</v>
      </c>
      <c r="AX105" s="93">
        <f>nSD*NseMeas!X105*AL105</f>
        <v>4.4247472747378329E-3</v>
      </c>
      <c r="AY105" s="93">
        <f t="shared" si="98"/>
        <v>2.6379919433336028E-5</v>
      </c>
      <c r="AZ105" s="93">
        <f>nSD*NseMeas!X105*AM105</f>
        <v>0</v>
      </c>
      <c r="BA105" s="93">
        <f t="shared" si="99"/>
        <v>0</v>
      </c>
      <c r="BB105" s="93">
        <f>nSD*NseMeas!X105*AO105</f>
        <v>1.7016173654831894E-3</v>
      </c>
      <c r="BC105" s="93">
        <f t="shared" si="100"/>
        <v>1.0144898708076197E-5</v>
      </c>
      <c r="BD105" s="93">
        <f>nSD*NseMeas!X105*AP105</f>
        <v>0.45096991767149286</v>
      </c>
      <c r="BE105" s="93">
        <f t="shared" si="101"/>
        <v>2.6878157133072068E-3</v>
      </c>
      <c r="BF105" s="93">
        <f>nSD*NseMeas!X105*AR105</f>
        <v>1.340040969224663E-3</v>
      </c>
      <c r="BG105" s="93">
        <f t="shared" si="102"/>
        <v>7.9892128201410378E-6</v>
      </c>
      <c r="BH105" s="91">
        <f t="shared" si="103"/>
        <v>4.9264185675817682E-3</v>
      </c>
      <c r="BI105" s="93">
        <f t="shared" si="104"/>
        <v>2.9370825516253739E-5</v>
      </c>
    </row>
    <row r="106" spans="1:61">
      <c r="A106" s="91">
        <f t="shared" si="89"/>
        <v>26.500001000000001</v>
      </c>
      <c r="B106" s="92">
        <f>T_0*(1+10^('User Cal. Noise Std'!AA107/10))</f>
        <v>4886.1902581372296</v>
      </c>
      <c r="C106" s="92">
        <f t="shared" si="105"/>
        <v>296</v>
      </c>
      <c r="D106" s="93">
        <f t="shared" si="106"/>
        <v>296</v>
      </c>
      <c r="E106" s="92">
        <f>IF(UsePreamp,T_0*(10^(Preamp!AE107/10)-1),0)</f>
        <v>627.06052144883006</v>
      </c>
      <c r="F106" s="92">
        <f>T_0*(10^((FieldFox!B106-kT0dB)/10)-1)</f>
        <v>45411.676407373438</v>
      </c>
      <c r="G106" s="93">
        <f>IF(UsePreamp,10^(Preamp!AD107/10),1)</f>
        <v>199.06734581632566</v>
      </c>
      <c r="H106" s="94">
        <f t="shared" si="107"/>
        <v>5.6331571950785328E-8</v>
      </c>
      <c r="I106" s="94">
        <f t="shared" si="108"/>
        <v>1.1294847333807005E-8</v>
      </c>
      <c r="J106" s="94">
        <f t="shared" si="109"/>
        <v>2.2528134443143055E-9</v>
      </c>
      <c r="K106" s="95">
        <f t="shared" si="110"/>
        <v>627.06052144882983</v>
      </c>
      <c r="L106" s="93">
        <f t="shared" si="111"/>
        <v>199.06734581632574</v>
      </c>
      <c r="M106" s="94">
        <f t="shared" si="112"/>
        <v>6.1524142648784919E-9</v>
      </c>
      <c r="N106" s="94">
        <f t="shared" si="113"/>
        <v>6.1524142648784927E-9</v>
      </c>
      <c r="O106" s="94">
        <f t="shared" si="114"/>
        <v>4.7940933317912516E-8</v>
      </c>
      <c r="P106" s="91">
        <f t="shared" si="115"/>
        <v>1.0644853444746147</v>
      </c>
      <c r="Q106" s="94">
        <f t="shared" si="116"/>
        <v>6.4485344474614736E-2</v>
      </c>
      <c r="R106" s="94">
        <f t="shared" si="117"/>
        <v>6.3269898143890479E-13</v>
      </c>
      <c r="S106" s="91">
        <v>-1</v>
      </c>
      <c r="T106" s="93">
        <f>FieldFox!AD106</f>
        <v>5.5</v>
      </c>
      <c r="U106" s="93">
        <f>FieldFox!AC106</f>
        <v>3.3947007644769931</v>
      </c>
      <c r="V106" s="93">
        <f>FieldFox!AE106</f>
        <v>2.1052992355230069</v>
      </c>
      <c r="W106" s="94">
        <f t="shared" si="118"/>
        <v>1.8054045564434553E-4</v>
      </c>
      <c r="X106" s="94">
        <f t="shared" si="119"/>
        <v>2.2980270150499131E-4</v>
      </c>
      <c r="Y106" s="94">
        <f t="shared" si="120"/>
        <v>2.9180918829824546E-4</v>
      </c>
      <c r="Z106" s="91">
        <f>IF(UsePreamp,Preamp!AF107,FieldFox!D106)</f>
        <v>0.3981071705534972</v>
      </c>
      <c r="AA106" s="91">
        <f t="shared" si="121"/>
        <v>0.40853898265363492</v>
      </c>
      <c r="AB106" s="91">
        <f>'User Cal. Noise Std'!AC107</f>
        <v>0.22</v>
      </c>
      <c r="AC106" s="91">
        <f>'User Cal. Noise Std'!AD107</f>
        <v>0.12</v>
      </c>
      <c r="AD106" s="91">
        <f>IF(UsePreamp,Preamp!AH107,0)</f>
        <v>0</v>
      </c>
      <c r="AE106" s="91">
        <f>DUT!AG107</f>
        <v>0.31622776601683794</v>
      </c>
      <c r="AF106" s="94">
        <f t="shared" si="122"/>
        <v>3.4307783771473645E-9</v>
      </c>
      <c r="AG106" s="94">
        <f t="shared" si="123"/>
        <v>0</v>
      </c>
      <c r="AH106" s="91">
        <f t="shared" si="90"/>
        <v>3.4307783771473645E-9</v>
      </c>
      <c r="AI106" s="94">
        <f t="shared" si="124"/>
        <v>0</v>
      </c>
      <c r="AJ106" s="94">
        <f t="shared" si="125"/>
        <v>0</v>
      </c>
      <c r="AK106" s="91">
        <f t="shared" si="91"/>
        <v>0</v>
      </c>
      <c r="AL106" s="94">
        <f t="shared" si="126"/>
        <v>2.1706739078933333E-12</v>
      </c>
      <c r="AM106" s="94">
        <f t="shared" si="92"/>
        <v>0</v>
      </c>
      <c r="AN106" s="91">
        <f t="shared" si="93"/>
        <v>2.1706739078933333E-12</v>
      </c>
      <c r="AO106" s="94">
        <f t="shared" si="127"/>
        <v>8.3477229028665889E-13</v>
      </c>
      <c r="AP106" s="94">
        <f t="shared" si="94"/>
        <v>2.2123492546640751E-10</v>
      </c>
      <c r="AQ106" s="94">
        <f t="shared" si="95"/>
        <v>2.212365003585609E-10</v>
      </c>
      <c r="AR106" s="94">
        <f t="shared" si="128"/>
        <v>6.5739166257273206E-13</v>
      </c>
      <c r="AS106" s="94">
        <f>B106*(10^('User Cal. Noise Std'!AB107/(ENRconf*10))-1)*R106</f>
        <v>3.5797739252760619E-11</v>
      </c>
      <c r="AT106" s="91">
        <f t="shared" si="96"/>
        <v>2.2412543634207295E-10</v>
      </c>
      <c r="AU106" s="93">
        <f>NseMeas!H106</f>
        <v>438.4470651377784</v>
      </c>
      <c r="AV106" s="93">
        <f>nSD*NseMeas!X106*AT106</f>
        <v>0.45686199573683128</v>
      </c>
      <c r="AW106" s="93">
        <f t="shared" si="97"/>
        <v>2.7229219493682755E-3</v>
      </c>
      <c r="AX106" s="93">
        <f>nSD*NseMeas!X106*AL106</f>
        <v>4.4247472747378329E-3</v>
      </c>
      <c r="AY106" s="93">
        <f t="shared" si="98"/>
        <v>2.6379919433336028E-5</v>
      </c>
      <c r="AZ106" s="93">
        <f>nSD*NseMeas!X106*AM106</f>
        <v>0</v>
      </c>
      <c r="BA106" s="93">
        <f t="shared" si="99"/>
        <v>0</v>
      </c>
      <c r="BB106" s="93">
        <f>nSD*NseMeas!X106*AO106</f>
        <v>1.7016173654831894E-3</v>
      </c>
      <c r="BC106" s="93">
        <f t="shared" si="100"/>
        <v>1.0144898708076197E-5</v>
      </c>
      <c r="BD106" s="93">
        <f>nSD*NseMeas!X106*AP106</f>
        <v>0.45096991767149286</v>
      </c>
      <c r="BE106" s="93">
        <f t="shared" si="101"/>
        <v>2.6878157133072068E-3</v>
      </c>
      <c r="BF106" s="93">
        <f>nSD*NseMeas!X106*AR106</f>
        <v>1.340040969224663E-3</v>
      </c>
      <c r="BG106" s="93">
        <f t="shared" si="102"/>
        <v>7.9892128201410378E-6</v>
      </c>
      <c r="BH106" s="91">
        <f t="shared" si="103"/>
        <v>4.9264185675817682E-3</v>
      </c>
      <c r="BI106" s="93">
        <f t="shared" si="104"/>
        <v>2.9370825516253739E-5</v>
      </c>
    </row>
  </sheetData>
  <sheetProtection selectLockedCells="1" selectUnlockedCells="1"/>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66" operator="greaterThan" id="{1363BCCE-4A91-4248-B250-AEE6E76A8996}">
            <xm:f>DashBoard!$K$6</xm:f>
            <x14:dxf>
              <font>
                <color theme="0"/>
              </font>
            </x14:dxf>
          </x14:cfRule>
          <xm:sqref>A5:A106</xm:sqref>
        </x14:conditionalFormatting>
        <x14:conditionalFormatting xmlns:xm="http://schemas.microsoft.com/office/excel/2006/main">
          <x14:cfRule type="expression" priority="167" id="{94BDC939-D0A1-4F03-8198-DF52E042C7AF}">
            <xm:f>$A5&gt;DashBoard!$K$6</xm:f>
            <x14:dxf>
              <font>
                <color theme="0"/>
              </font>
            </x14:dxf>
          </x14:cfRule>
          <xm:sqref>B5:BI106</xm:sqref>
        </x14:conditionalFormatting>
        <x14:conditionalFormatting xmlns:xm="http://schemas.microsoft.com/office/excel/2006/main">
          <x14:cfRule type="expression" priority="2" id="{7857DAE3-4D1E-446E-80E2-92DB02A77AF9}">
            <xm:f>$A5&gt;DashBoard!$K$6</xm:f>
            <x14:dxf>
              <font>
                <color theme="0"/>
              </font>
            </x14:dxf>
          </x14:cfRule>
          <xm:sqref>BI5</xm:sqref>
        </x14:conditionalFormatting>
        <x14:conditionalFormatting xmlns:xm="http://schemas.microsoft.com/office/excel/2006/main">
          <x14:cfRule type="expression" priority="1" id="{855E3490-5A35-4DF3-9E4F-82742D3B9EE7}">
            <xm:f>$A6&gt;DashBoard!$K$6</xm:f>
            <x14:dxf>
              <font>
                <color theme="0"/>
              </font>
            </x14:dxf>
          </x14:cfRule>
          <xm:sqref>BI6:BI106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CC106"/>
  <sheetViews>
    <sheetView workbookViewId="0">
      <selection activeCell="F5" sqref="F5"/>
    </sheetView>
  </sheetViews>
  <sheetFormatPr defaultColWidth="8.81640625" defaultRowHeight="14.5"/>
  <cols>
    <col min="1" max="1" width="6.26953125" style="4" customWidth="1"/>
    <col min="2" max="2" width="9.26953125" style="164" customWidth="1"/>
    <col min="3" max="3" width="8.81640625" style="164" customWidth="1"/>
    <col min="4" max="4" width="8.81640625" style="86" customWidth="1"/>
    <col min="5" max="5" width="9.26953125" style="164" customWidth="1"/>
    <col min="6" max="6" width="8.7265625" style="164" customWidth="1"/>
    <col min="7" max="7" width="7" style="86" customWidth="1"/>
    <col min="8" max="8" width="7.54296875" style="86" customWidth="1"/>
    <col min="9" max="9" width="10.81640625" style="86" customWidth="1"/>
    <col min="10" max="14" width="9.7265625" style="87" customWidth="1"/>
    <col min="15" max="15" width="11.7265625" style="165" customWidth="1"/>
    <col min="16" max="16" width="9.7265625" style="86" customWidth="1"/>
    <col min="17" max="17" width="9.7265625" style="87" customWidth="1"/>
    <col min="18" max="18" width="8.54296875" style="87" customWidth="1"/>
    <col min="19" max="19" width="12" style="87" customWidth="1"/>
    <col min="20" max="20" width="9.26953125" style="4" customWidth="1"/>
    <col min="21" max="23" width="9.54296875" style="87" customWidth="1"/>
    <col min="24" max="24" width="8.54296875" style="4" customWidth="1"/>
    <col min="25" max="25" width="5.453125" style="86" customWidth="1"/>
    <col min="26" max="26" width="9.1796875" style="86" customWidth="1"/>
    <col min="27" max="27" width="5.453125" style="86" customWidth="1"/>
    <col min="28" max="30" width="8.54296875" style="87" customWidth="1"/>
    <col min="31" max="35" width="8.81640625" style="4" customWidth="1"/>
    <col min="36" max="36" width="9.26953125" style="166" customWidth="1"/>
    <col min="37" max="37" width="8.81640625" style="166" customWidth="1"/>
    <col min="38" max="42" width="10.81640625" style="4" customWidth="1"/>
    <col min="43" max="44" width="8.81640625" style="88" customWidth="1"/>
    <col min="45" max="45" width="12" style="88" customWidth="1"/>
    <col min="46" max="48" width="8.81640625" style="88" customWidth="1"/>
    <col min="49" max="49" width="9.81640625" style="88" customWidth="1"/>
    <col min="50" max="50" width="8.81640625" style="88" customWidth="1"/>
    <col min="51" max="51" width="11" style="167" customWidth="1"/>
    <col min="52" max="55" width="8.81640625" style="88" customWidth="1"/>
    <col min="56" max="56" width="12" style="86" customWidth="1"/>
    <col min="57" max="58" width="8.81640625" style="4" customWidth="1"/>
    <col min="59" max="60" width="8.81640625" style="88" customWidth="1"/>
    <col min="61" max="61" width="7.7265625" style="86" customWidth="1"/>
    <col min="62" max="71" width="8.81640625" style="86" customWidth="1"/>
    <col min="72" max="72" width="9.54296875" style="86" customWidth="1"/>
    <col min="73" max="73" width="8.81640625" style="86" customWidth="1"/>
    <col min="74" max="74" width="10.54296875" style="86" customWidth="1"/>
    <col min="75" max="75" width="8.81640625" style="86" customWidth="1"/>
    <col min="76" max="77" width="8.81640625" style="4" customWidth="1"/>
    <col min="78" max="78" width="8.81640625" style="168" customWidth="1"/>
    <col min="79" max="81" width="8.81640625" style="4" customWidth="1"/>
    <col min="82" max="16384" width="8.81640625" style="4"/>
  </cols>
  <sheetData>
    <row r="1" spans="1:81">
      <c r="A1" s="4" t="s">
        <v>43</v>
      </c>
      <c r="B1" s="164">
        <v>290</v>
      </c>
      <c r="C1" s="164" t="s">
        <v>75</v>
      </c>
      <c r="D1" s="86">
        <v>0.8</v>
      </c>
      <c r="J1" s="87" t="s">
        <v>78</v>
      </c>
      <c r="K1" s="87">
        <v>0.70699999999999996</v>
      </c>
      <c r="BI1" s="86" t="s">
        <v>149</v>
      </c>
    </row>
    <row r="2" spans="1:81">
      <c r="A2" s="4" t="s">
        <v>50</v>
      </c>
      <c r="B2" s="169">
        <v>1.3806E-20</v>
      </c>
      <c r="C2" s="164" t="s">
        <v>51</v>
      </c>
      <c r="D2" s="86">
        <f>10*LOG10(k_mw*T_0)</f>
        <v>-173.97534133048759</v>
      </c>
      <c r="E2" s="164" t="s">
        <v>58</v>
      </c>
      <c r="F2" s="164">
        <f>FieldFox!BZ4</f>
        <v>3570000</v>
      </c>
      <c r="H2" s="86" t="s">
        <v>0</v>
      </c>
      <c r="J2" s="87" t="s">
        <v>79</v>
      </c>
      <c r="K2" s="87">
        <v>0.40899999999999997</v>
      </c>
      <c r="Q2" s="87" t="s">
        <v>154</v>
      </c>
      <c r="AI2" s="4" t="s">
        <v>0</v>
      </c>
      <c r="AQ2" s="88" t="s">
        <v>110</v>
      </c>
    </row>
    <row r="3" spans="1:81">
      <c r="B3" s="164" t="s">
        <v>48</v>
      </c>
      <c r="E3" s="164" t="s">
        <v>49</v>
      </c>
      <c r="L3" s="87">
        <f>L5-C5*k_mw*BW</f>
        <v>1.6463049060493733E-10</v>
      </c>
      <c r="Q3" s="170">
        <v>5.9999999999999997E-7</v>
      </c>
      <c r="S3" s="87" t="s">
        <v>103</v>
      </c>
      <c r="T3" s="170">
        <v>800000000</v>
      </c>
      <c r="U3" s="87" t="s">
        <v>111</v>
      </c>
      <c r="Y3" s="86" t="s">
        <v>66</v>
      </c>
      <c r="AB3" s="87" t="s">
        <v>76</v>
      </c>
      <c r="AE3" s="4" t="s">
        <v>77</v>
      </c>
      <c r="AI3" s="4" t="s">
        <v>105</v>
      </c>
      <c r="AL3" s="163" t="s">
        <v>0</v>
      </c>
      <c r="AQ3" s="88" t="s">
        <v>114</v>
      </c>
      <c r="AU3" s="167">
        <v>21.8</v>
      </c>
      <c r="BI3" s="86" t="s">
        <v>147</v>
      </c>
      <c r="BK3" s="86" t="s">
        <v>151</v>
      </c>
      <c r="BM3" s="86" t="s">
        <v>152</v>
      </c>
      <c r="BO3" s="86" t="s">
        <v>38</v>
      </c>
      <c r="BQ3" s="86" t="s">
        <v>179</v>
      </c>
      <c r="BT3" s="86" t="s">
        <v>223</v>
      </c>
      <c r="BV3" s="86" t="s">
        <v>220</v>
      </c>
      <c r="BX3" s="4" t="s">
        <v>224</v>
      </c>
      <c r="BZ3" s="168" t="s">
        <v>225</v>
      </c>
      <c r="CB3" s="4" t="s">
        <v>226</v>
      </c>
    </row>
    <row r="4" spans="1:81">
      <c r="A4" s="4" t="s">
        <v>39</v>
      </c>
      <c r="B4" s="164" t="s">
        <v>42</v>
      </c>
      <c r="C4" s="164" t="s">
        <v>45</v>
      </c>
      <c r="D4" s="86" t="s">
        <v>46</v>
      </c>
      <c r="E4" s="164" t="s">
        <v>47</v>
      </c>
      <c r="F4" s="164" t="s">
        <v>52</v>
      </c>
      <c r="G4" s="86" t="s">
        <v>54</v>
      </c>
      <c r="H4" s="86" t="s">
        <v>101</v>
      </c>
      <c r="I4" s="86" t="s">
        <v>102</v>
      </c>
      <c r="J4" s="87" t="s">
        <v>53</v>
      </c>
      <c r="K4" s="87" t="s">
        <v>55</v>
      </c>
      <c r="L4" s="87" t="s">
        <v>56</v>
      </c>
      <c r="M4" s="87" t="s">
        <v>65</v>
      </c>
      <c r="N4" s="87" t="s">
        <v>59</v>
      </c>
      <c r="O4" s="165" t="s">
        <v>101</v>
      </c>
      <c r="P4" s="86" t="s">
        <v>102</v>
      </c>
      <c r="Q4" s="170" t="s">
        <v>61</v>
      </c>
      <c r="R4" s="87" t="s">
        <v>60</v>
      </c>
      <c r="S4" s="87" t="s">
        <v>60</v>
      </c>
      <c r="T4" s="163" t="s">
        <v>61</v>
      </c>
      <c r="U4" s="87" t="s">
        <v>62</v>
      </c>
      <c r="V4" s="87" t="s">
        <v>173</v>
      </c>
      <c r="W4" s="87" t="s">
        <v>177</v>
      </c>
      <c r="X4" s="4" t="s">
        <v>63</v>
      </c>
      <c r="Y4" s="86" t="s">
        <v>67</v>
      </c>
      <c r="Z4" s="86" t="s">
        <v>68</v>
      </c>
      <c r="AA4" s="86" t="s">
        <v>69</v>
      </c>
      <c r="AB4" s="87" t="s">
        <v>67</v>
      </c>
      <c r="AC4" s="87" t="s">
        <v>68</v>
      </c>
      <c r="AD4" s="87" t="s">
        <v>69</v>
      </c>
      <c r="AE4" s="87" t="s">
        <v>106</v>
      </c>
      <c r="AF4" s="87" t="s">
        <v>104</v>
      </c>
      <c r="AG4" s="87" t="s">
        <v>85</v>
      </c>
      <c r="AH4" s="87" t="s">
        <v>91</v>
      </c>
      <c r="AI4" s="87" t="s">
        <v>80</v>
      </c>
      <c r="AJ4" s="171" t="s">
        <v>336</v>
      </c>
      <c r="AK4" s="171" t="s">
        <v>337</v>
      </c>
      <c r="AL4" s="170" t="s">
        <v>89</v>
      </c>
      <c r="AM4" s="87" t="s">
        <v>90</v>
      </c>
      <c r="AN4" s="87" t="s">
        <v>107</v>
      </c>
      <c r="AO4" s="87" t="s">
        <v>84</v>
      </c>
      <c r="AP4" s="87" t="s">
        <v>88</v>
      </c>
      <c r="AQ4" s="88" t="s">
        <v>92</v>
      </c>
      <c r="AR4" s="88" t="s">
        <v>93</v>
      </c>
      <c r="AS4" s="172" t="s">
        <v>96</v>
      </c>
      <c r="AT4" s="88" t="s">
        <v>94</v>
      </c>
      <c r="AU4" s="167" t="s">
        <v>95</v>
      </c>
      <c r="AV4" s="172" t="s">
        <v>97</v>
      </c>
      <c r="AW4" s="88" t="s">
        <v>65</v>
      </c>
      <c r="AX4" s="88" t="s">
        <v>108</v>
      </c>
      <c r="AY4" s="173" t="s">
        <v>98</v>
      </c>
      <c r="AZ4" s="172" t="s">
        <v>99</v>
      </c>
      <c r="BA4" s="88" t="s">
        <v>174</v>
      </c>
      <c r="BB4" s="88" t="s">
        <v>175</v>
      </c>
      <c r="BC4" s="172" t="s">
        <v>176</v>
      </c>
      <c r="BD4" s="86" t="s">
        <v>109</v>
      </c>
      <c r="BE4" s="174" t="s">
        <v>112</v>
      </c>
      <c r="BF4" s="174" t="s">
        <v>113</v>
      </c>
      <c r="BG4" s="88" t="s">
        <v>143</v>
      </c>
      <c r="BH4" s="88" t="s">
        <v>144</v>
      </c>
      <c r="BI4" s="86" t="s">
        <v>150</v>
      </c>
      <c r="BJ4" s="86" t="s">
        <v>148</v>
      </c>
      <c r="BK4" s="86" t="s">
        <v>150</v>
      </c>
      <c r="BL4" s="86" t="s">
        <v>148</v>
      </c>
      <c r="BM4" s="86" t="s">
        <v>150</v>
      </c>
      <c r="BN4" s="86" t="s">
        <v>148</v>
      </c>
      <c r="BO4" s="86" t="s">
        <v>150</v>
      </c>
      <c r="BP4" s="86" t="s">
        <v>148</v>
      </c>
      <c r="BQ4" s="86" t="s">
        <v>180</v>
      </c>
      <c r="BR4" s="86" t="s">
        <v>113</v>
      </c>
    </row>
    <row r="5" spans="1:81">
      <c r="A5" s="4">
        <f>StartFreqGHz</f>
        <v>0.1</v>
      </c>
      <c r="B5" s="164">
        <f>T_0*(1+10^('Meas. Noise Std'!AA6/10))</f>
        <v>1207.0605214488303</v>
      </c>
      <c r="C5" s="164">
        <f t="shared" ref="C5:C36" si="0">MeasAmbient</f>
        <v>298</v>
      </c>
      <c r="D5" s="86">
        <f t="shared" ref="D5:D36" si="1">MeasAmbient+FFAmbientOffset</f>
        <v>298</v>
      </c>
      <c r="E5" s="164">
        <f>IF(UsePreamp,T_0*(10^(Preamp!AE6/10)-1),0)</f>
        <v>864.51079460514211</v>
      </c>
      <c r="F5" s="164">
        <f>T_0*(10^((FieldFox!B5-kT0dB)/10)-1)</f>
        <v>3340.2131944609264</v>
      </c>
      <c r="G5" s="86">
        <f>IF(UsePreamp,10^(Preamp!AD6/10),1)</f>
        <v>40.982646498098255</v>
      </c>
      <c r="H5" s="86">
        <f>T_0*(10^(DUT!AE6/10)-1)</f>
        <v>438.4470651377784</v>
      </c>
      <c r="I5" s="86">
        <f>10^(DUT!AD6/10)</f>
        <v>100</v>
      </c>
      <c r="J5" s="87">
        <f t="shared" ref="J5:J36" si="2">(((B5+H5)*I5+E5)*G5+F5)*k_mw*$F$2</f>
        <v>3.342917155244164E-7</v>
      </c>
      <c r="K5" s="87">
        <f t="shared" ref="K5:K36" si="3">(((C5+H5)*I5+E5)*G5+F5)*k_mw*$F$2</f>
        <v>1.5066795264270191E-7</v>
      </c>
      <c r="L5" s="87">
        <f t="shared" ref="L5:L36" si="4">MIN(K5,(D5+F5)*k_mw*$F$2)</f>
        <v>1.7931814176493733E-10</v>
      </c>
      <c r="M5" s="87">
        <f>IF(UseUserCal,Calibration!M5,0)</f>
        <v>1.7462503476034265E-9</v>
      </c>
      <c r="N5" s="87">
        <f>IF(UseUserCal,Calibration!L5,1)</f>
        <v>40.982646498098262</v>
      </c>
      <c r="O5" s="165">
        <f t="shared" ref="O5:O36" si="5">(B5*K5-C5*J5-(B5-C5)*(M5+L5-C5*k_mw*$F$2))/(J5-K5)</f>
        <v>438.44706513777857</v>
      </c>
      <c r="P5" s="86">
        <f t="shared" ref="P5:P36" si="6">(J5-K5)/(B5-C5)/k_mw/$F$2/N5</f>
        <v>99.999999999999957</v>
      </c>
      <c r="Q5" s="170">
        <f t="shared" ref="Q5:Q36" si="7">B5*I5*G5*k_mw*BW</f>
        <v>2.4381764441948078E-7</v>
      </c>
      <c r="R5" s="87">
        <f t="shared" ref="R5:R36" si="8">H5*I5*G5*k_mw*BW</f>
        <v>8.8563190266727285E-8</v>
      </c>
      <c r="S5" s="87">
        <f>(B5-C5)*(J5-M5-L5)/((J5-K5)^2)</f>
        <v>8960903790.7757225</v>
      </c>
      <c r="T5" s="170">
        <f t="shared" ref="T5:T36" si="9">(B5-C5)*(K5-M5-L5)/((J5-K5)^2)</f>
        <v>4010234513.6494141</v>
      </c>
      <c r="U5" s="87">
        <f t="shared" ref="U5:U36" si="10">(K5-(L5+M5))/(J5-K5)</f>
        <v>0.81003886326602192</v>
      </c>
      <c r="V5" s="87">
        <f t="shared" ref="V5:V36" si="11">(-J5+(L5+M5))/(J5-K5)</f>
        <v>-1.810038863266022</v>
      </c>
      <c r="W5" s="87">
        <f t="shared" ref="W5:W36" si="12">(B5-C5)*k_mw*BW/(J5-K5)</f>
        <v>2.4400571594282081E-4</v>
      </c>
      <c r="X5" s="87">
        <f>(B5-C5)/(J5-K5)</f>
        <v>4950669277.1263094</v>
      </c>
      <c r="Y5" s="86">
        <f>FieldFox!AG5</f>
        <v>0.1</v>
      </c>
      <c r="Z5" s="86">
        <f>FieldFox!AF5</f>
        <v>0.1</v>
      </c>
      <c r="AA5" s="86">
        <f>FieldFox!AH5</f>
        <v>0.1</v>
      </c>
      <c r="AB5" s="87">
        <f>Jitter1H1s/SQRT(BW*Y5)</f>
        <v>1.3389238540091567E-3</v>
      </c>
      <c r="AC5" s="87">
        <f t="shared" ref="AC5:AC36" si="13">Jitter1H1s/SQRT(BW*Z5)</f>
        <v>1.3389238540091567E-3</v>
      </c>
      <c r="AD5" s="87">
        <f t="shared" ref="AD5:AD36" si="14">Jitter1H1s/SQRT(BW*AA5)</f>
        <v>1.3389238540091567E-3</v>
      </c>
      <c r="AE5" s="87">
        <f>DUT!AF6</f>
        <v>0.2</v>
      </c>
      <c r="AF5" s="4">
        <f>DutConf</f>
        <v>0.40853898265363492</v>
      </c>
      <c r="AG5" s="4">
        <f>'Meas. Noise Std'!AC6</f>
        <v>0.1</v>
      </c>
      <c r="AH5" s="4">
        <f>'Meas. Noise Std'!AD6</f>
        <v>1</v>
      </c>
      <c r="AI5" s="4">
        <f>DUT!AH6</f>
        <v>0</v>
      </c>
      <c r="AJ5" s="166">
        <f t="shared" ref="AJ5:AJ36" si="15">2*SQRT(2)*AE5*AF5*AG5*NseSrcConf</f>
        <v>1.6341559306145403E-2</v>
      </c>
      <c r="AK5" s="166">
        <f t="shared" ref="AK5:AK36" si="16">2*SQRT(2)*AG5*NseSrcConf*AI5*AF5</f>
        <v>0</v>
      </c>
      <c r="AL5" s="163">
        <f>SQRT(AJ5^2+AK5^2)</f>
        <v>1.6341559306145403E-2</v>
      </c>
      <c r="AM5" s="4">
        <f t="shared" ref="AM5:AM36" si="17">2*SQRT(2)*AF5*AH5*AI5*NseSrcConf</f>
        <v>0</v>
      </c>
      <c r="AN5" s="4">
        <f>DUT!AG6</f>
        <v>0.31622776601683794</v>
      </c>
      <c r="AO5" s="4">
        <f>IF(AND(UsePreamp,UseUserCal),Preamp!AF6,0)</f>
        <v>0.17782794100389224</v>
      </c>
      <c r="AP5" s="4" t="s">
        <v>0</v>
      </c>
      <c r="AQ5" s="88">
        <f t="shared" ref="AQ5:AQ36" si="18">AB5*K5*S5</f>
        <v>1.8077092501676835</v>
      </c>
      <c r="AR5" s="88">
        <f t="shared" ref="AR5:AR36" si="19">AM5*R5*S5</f>
        <v>0</v>
      </c>
      <c r="AS5" s="88">
        <f>SQRT(AQ5^2+AR5^2)</f>
        <v>1.8077092501676835</v>
      </c>
      <c r="AT5" s="88">
        <f t="shared" ref="AT5:AT36" si="20">AC5*J5*T5</f>
        <v>1.7949454862087972</v>
      </c>
      <c r="AU5" s="167">
        <f t="shared" ref="AU5:AU36" si="21">AL5*Q5*T5</f>
        <v>15.978219976544661</v>
      </c>
      <c r="AV5" s="88">
        <f>SQRT(AT5^2+AU5^2)</f>
        <v>16.078723298735888</v>
      </c>
      <c r="AW5" s="88">
        <f>X5*Calibration!AT5*UseUserCal</f>
        <v>0.10715499855310685</v>
      </c>
      <c r="AX5" s="88">
        <f t="shared" ref="AX5:AX36" si="22">X5*AD5*L5</f>
        <v>1.1886227094340125E-3</v>
      </c>
      <c r="AY5" s="167">
        <f>SQRT((AW5)^2+(AX5)^2)</f>
        <v>0.10716159078168686</v>
      </c>
      <c r="AZ5" s="88">
        <f>U5*B5*(10^('Meas. Noise Std'!AB6/(ENRconf*10))-1)</f>
        <v>11.321995894444333</v>
      </c>
      <c r="BA5" s="88">
        <f t="shared" ref="BA5:BA36" si="23">TambientDrift*V5</f>
        <v>0</v>
      </c>
      <c r="BB5" s="88">
        <f t="shared" ref="BB5:BB36" si="24">TffDelta*W5</f>
        <v>0</v>
      </c>
      <c r="BC5" s="88">
        <f>SQRT(BA5^2+BB5^2)</f>
        <v>0</v>
      </c>
      <c r="BD5" s="88">
        <f t="shared" ref="BD5:BD36" si="25">SQRT((AS5)^2+(AV5)^2+(AZ5)^2+(AY5)^2+BC5^2)</f>
        <v>19.748220939892466</v>
      </c>
      <c r="BE5" s="4">
        <f t="shared" ref="BE5:BE36" si="26">BD5*nSD</f>
        <v>39.496441879784932</v>
      </c>
      <c r="BF5" s="4">
        <f t="shared" ref="BF5:BF36" si="27">10*LOG10((H5+T_0+BE5)/(H5+T_0))</f>
        <v>0.22931274876113791</v>
      </c>
      <c r="BG5" s="88">
        <f t="shared" ref="BG5:BG36" si="28">O5+BE5</f>
        <v>477.94350701756349</v>
      </c>
      <c r="BH5" s="88">
        <f t="shared" ref="BH5:BH36" si="29">MAX(-289,O5-BE5)</f>
        <v>398.95062325799364</v>
      </c>
      <c r="BI5" s="86">
        <f t="shared" ref="BI5:BI36" si="30">SQRT(AX5^2+AT5^2+AQ5^2)*nSD</f>
        <v>5.0949557189153625</v>
      </c>
      <c r="BJ5" s="86">
        <f>10*LOG10(($O5+NseMeas!T_0+BI5)/($O5+NseMeas!T_0))</f>
        <v>3.0269994943452519E-2</v>
      </c>
      <c r="BK5" s="86">
        <f t="shared" ref="BK5:BK36" si="31">SQRT(AR5^2+AU5^2)*nSD</f>
        <v>31.956439953089323</v>
      </c>
      <c r="BL5" s="86">
        <f>10*LOG10(($O5+NseMeas!T_0+BK5)/($O5+NseMeas!T_0))</f>
        <v>0.18646112185709196</v>
      </c>
      <c r="BM5" s="86">
        <f t="shared" ref="BM5:BM36" si="32">AZ5*nSD</f>
        <v>22.643991788888666</v>
      </c>
      <c r="BN5" s="86">
        <f>10*LOG10(($O5+NseMeas!T_0+BM5)/($O5+NseMeas!T_0))</f>
        <v>0.13294593064713064</v>
      </c>
      <c r="BO5" s="86">
        <f t="shared" ref="BO5:BO36" si="33">AW5*nSD</f>
        <v>0.21430999710621371</v>
      </c>
      <c r="BP5" s="86">
        <f>10*LOG10(($O5+NseMeas!T_0+BO5)/($O5+NseMeas!T_0))</f>
        <v>1.2775116423540173E-3</v>
      </c>
      <c r="BQ5" s="86">
        <f t="shared" ref="BQ5:BQ36" si="34">BC5*nSD</f>
        <v>0</v>
      </c>
      <c r="BR5" s="86">
        <f>10*LOG10(($O5+NseMeas!T_0+BQ5)/($O5+NseMeas!T_0))</f>
        <v>0</v>
      </c>
      <c r="BT5" s="86">
        <f t="shared" ref="BT5:BT36" si="35">AR5*nSD</f>
        <v>0</v>
      </c>
      <c r="BU5" s="86">
        <f>10*LOG10(($O5+NseMeas!T_0+BT5)/($O5+NseMeas!T_0))</f>
        <v>0</v>
      </c>
      <c r="BV5" s="86">
        <f t="shared" ref="BV5:BV36" si="36">AU5*nSD</f>
        <v>31.956439953089323</v>
      </c>
      <c r="BW5" s="86">
        <f>10*LOG10(($O5+NseMeas!T_0+BV5)/($O5+NseMeas!T_0))</f>
        <v>0.18646112185709196</v>
      </c>
      <c r="BX5" s="175">
        <f>UseUserCal*X5*Calibration!AM5*nSD</f>
        <v>0</v>
      </c>
      <c r="BY5" s="86">
        <f>10*LOG10(($O5+NseMeas!T_0+BX5)/($O5+NseMeas!T_0))</f>
        <v>0</v>
      </c>
      <c r="BZ5" s="168">
        <f>UseUserCal*X5*Calibration!AP5*nSD</f>
        <v>0.20144086277752651</v>
      </c>
      <c r="CA5" s="86">
        <f>10*LOG10(($O5+NseMeas!T_0+BZ5)/($O5+NseMeas!T_0))</f>
        <v>1.2008087516612526E-3</v>
      </c>
      <c r="CB5" s="4">
        <f t="shared" ref="CB5:CB36" si="37">SQRT(BT5^2+BV5^2+BX5^2+BZ5^2)</f>
        <v>31.957074848875013</v>
      </c>
      <c r="CC5" s="86">
        <f>10*LOG10(($O5+NseMeas!T_0+CB5)/($O5+NseMeas!T_0))</f>
        <v>0.18646474797953055</v>
      </c>
    </row>
    <row r="6" spans="1:81">
      <c r="A6" s="4">
        <f t="shared" ref="A6:A37" si="38">MIN(StopFreqGHz+0.000001,A5+FreqStep)</f>
        <v>0.628</v>
      </c>
      <c r="B6" s="164">
        <f>T_0*(1+10^('Meas. Noise Std'!AA7/10))</f>
        <v>1207.0605214488303</v>
      </c>
      <c r="C6" s="164">
        <f t="shared" si="0"/>
        <v>298</v>
      </c>
      <c r="D6" s="86">
        <f t="shared" si="1"/>
        <v>298</v>
      </c>
      <c r="E6" s="164">
        <f>IF(UsePreamp,T_0*(10^(Preamp!AE7/10)-1),0)</f>
        <v>864.51079460514211</v>
      </c>
      <c r="F6" s="164">
        <f>T_0*(10^((FieldFox!B6-kT0dB)/10)-1)</f>
        <v>3340.2131944609264</v>
      </c>
      <c r="G6" s="86">
        <f>IF(UsePreamp,10^(Preamp!AD7/10),1)</f>
        <v>42.298795442867842</v>
      </c>
      <c r="H6" s="86">
        <f>T_0*(10^(DUT!AE7/10)-1)</f>
        <v>438.4470651377784</v>
      </c>
      <c r="I6" s="86">
        <f>10^(DUT!AD7/10)</f>
        <v>100</v>
      </c>
      <c r="J6" s="87">
        <f t="shared" si="2"/>
        <v>3.4502213554271843E-7</v>
      </c>
      <c r="K6" s="87">
        <f t="shared" si="3"/>
        <v>1.5550133470952358E-7</v>
      </c>
      <c r="L6" s="87">
        <f t="shared" si="4"/>
        <v>1.7931814176493733E-10</v>
      </c>
      <c r="M6" s="87">
        <f>IF(UseUserCal,Calibration!M6,0)</f>
        <v>1.8023308047893341E-9</v>
      </c>
      <c r="N6" s="87">
        <f>IF(UseUserCal,Calibration!L6,1)</f>
        <v>42.298795442867835</v>
      </c>
      <c r="O6" s="165">
        <f t="shared" si="5"/>
        <v>438.44706513777868</v>
      </c>
      <c r="P6" s="86">
        <f t="shared" si="6"/>
        <v>99.999999999999986</v>
      </c>
      <c r="Q6" s="170">
        <f t="shared" si="7"/>
        <v>2.5164779602849891E-7</v>
      </c>
      <c r="R6" s="87">
        <f t="shared" si="8"/>
        <v>9.1407378218825245E-8</v>
      </c>
      <c r="S6" s="87">
        <f t="shared" ref="S6:S36" si="39">(B6-C6)*(J6-M6-L6)/((J6-K6)^2)</f>
        <v>8682092562.78969</v>
      </c>
      <c r="T6" s="87">
        <f t="shared" si="9"/>
        <v>3885465926.2816887</v>
      </c>
      <c r="U6" s="87">
        <f t="shared" si="10"/>
        <v>0.81004135212624173</v>
      </c>
      <c r="V6" s="87">
        <f t="shared" si="11"/>
        <v>-1.8100413521262417</v>
      </c>
      <c r="W6" s="87">
        <f t="shared" si="12"/>
        <v>2.3641335161675724E-4</v>
      </c>
      <c r="X6" s="87">
        <f t="shared" ref="X6:X36" si="40">(B6-C6)/(J6-K6)</f>
        <v>4796626636.5080013</v>
      </c>
      <c r="Y6" s="86">
        <f>FieldFox!AG6</f>
        <v>0.1</v>
      </c>
      <c r="Z6" s="86">
        <f>FieldFox!AF6</f>
        <v>0.1</v>
      </c>
      <c r="AA6" s="86">
        <f>FieldFox!AH6</f>
        <v>0.1</v>
      </c>
      <c r="AB6" s="87">
        <f t="shared" ref="AB6:AB36" si="41">Jitter1H1s/SQRT(BW*Y6)</f>
        <v>1.3389238540091567E-3</v>
      </c>
      <c r="AC6" s="87">
        <f t="shared" si="13"/>
        <v>1.3389238540091567E-3</v>
      </c>
      <c r="AD6" s="87">
        <f t="shared" si="14"/>
        <v>1.3389238540091567E-3</v>
      </c>
      <c r="AE6" s="87">
        <f>DUT!AF7</f>
        <v>0.2</v>
      </c>
      <c r="AF6" s="4">
        <f t="shared" ref="AF6:AF36" si="42">DutConf</f>
        <v>0.40853898265363492</v>
      </c>
      <c r="AG6" s="4">
        <f>'Meas. Noise Std'!AC7</f>
        <v>0.1</v>
      </c>
      <c r="AH6" s="4">
        <f>'Meas. Noise Std'!AD7</f>
        <v>1</v>
      </c>
      <c r="AI6" s="4">
        <f>DUT!AH7</f>
        <v>0</v>
      </c>
      <c r="AJ6" s="166">
        <f t="shared" si="15"/>
        <v>1.6341559306145403E-2</v>
      </c>
      <c r="AK6" s="166">
        <f t="shared" si="16"/>
        <v>0</v>
      </c>
      <c r="AL6" s="163">
        <f t="shared" ref="AL6:AL69" si="43">SQRT(AJ6^2+AK6^2)</f>
        <v>1.6341559306145403E-2</v>
      </c>
      <c r="AM6" s="4">
        <f t="shared" si="17"/>
        <v>0</v>
      </c>
      <c r="AN6" s="4">
        <f>DUT!AG7</f>
        <v>0.31622776601683794</v>
      </c>
      <c r="AO6" s="4">
        <f>IF(AND(UsePreamp,UseUserCal),Preamp!AF7,0)</f>
        <v>0.17782794100389224</v>
      </c>
      <c r="AP6" s="4">
        <f t="shared" ref="AP6:AP36" si="44">PreampGamConf</f>
        <v>0.40853898265363492</v>
      </c>
      <c r="AQ6" s="88">
        <f t="shared" si="18"/>
        <v>1.8076502753934065</v>
      </c>
      <c r="AR6" s="88">
        <f t="shared" si="19"/>
        <v>0</v>
      </c>
      <c r="AS6" s="88">
        <f t="shared" ref="AS6:AS69" si="45">SQRT(AQ6^2+AR6^2)</f>
        <v>1.8076502753934065</v>
      </c>
      <c r="AT6" s="88">
        <f t="shared" si="20"/>
        <v>1.7949234960462181</v>
      </c>
      <c r="AU6" s="88">
        <f t="shared" si="21"/>
        <v>15.978269069937443</v>
      </c>
      <c r="AV6" s="88">
        <f t="shared" ref="AV6:AV69" si="46">SQRT(AT6^2+AU6^2)</f>
        <v>16.078769630415703</v>
      </c>
      <c r="AW6" s="88">
        <f>X6*Calibration!AT6*UseUserCal</f>
        <v>0.10715484888149823</v>
      </c>
      <c r="AX6" s="88">
        <f t="shared" si="22"/>
        <v>1.1516380977359382E-3</v>
      </c>
      <c r="AY6" s="167">
        <f t="shared" ref="AY6:AY69" si="47">SQRT((AW6)^2+(AX6)^2)</f>
        <v>0.1071610372715983</v>
      </c>
      <c r="AZ6" s="88">
        <f>U6*B6*(10^('Meas. Noise Std'!AB7/(ENRconf*10))-1)</f>
        <v>11.322030681497731</v>
      </c>
      <c r="BA6" s="88">
        <f t="shared" si="23"/>
        <v>0</v>
      </c>
      <c r="BB6" s="88">
        <f t="shared" si="24"/>
        <v>0</v>
      </c>
      <c r="BC6" s="88">
        <f t="shared" ref="BC6:BC69" si="48">SQRT(BA6^2+BB6^2)</f>
        <v>0</v>
      </c>
      <c r="BD6" s="88">
        <f t="shared" si="25"/>
        <v>19.748273205189189</v>
      </c>
      <c r="BE6" s="4">
        <f t="shared" si="26"/>
        <v>39.496546410378379</v>
      </c>
      <c r="BF6" s="4">
        <f t="shared" si="27"/>
        <v>0.22931333991213357</v>
      </c>
      <c r="BG6" s="88">
        <f t="shared" si="28"/>
        <v>477.94361154815704</v>
      </c>
      <c r="BH6" s="88">
        <f t="shared" si="29"/>
        <v>398.95051872740032</v>
      </c>
      <c r="BI6" s="86">
        <f t="shared" si="30"/>
        <v>5.0948409989160384</v>
      </c>
      <c r="BJ6" s="86">
        <f>10*LOG10(($O6+NseMeas!T_0+BI6)/($O6+NseMeas!T_0))</f>
        <v>3.0269315742191952E-2</v>
      </c>
      <c r="BK6" s="86">
        <f t="shared" si="31"/>
        <v>31.956538139874887</v>
      </c>
      <c r="BL6" s="86">
        <f>10*LOG10(($O6+NseMeas!T_0+BK6)/($O6+NseMeas!T_0))</f>
        <v>0.18646168263799462</v>
      </c>
      <c r="BM6" s="86">
        <f t="shared" si="32"/>
        <v>22.644061362995462</v>
      </c>
      <c r="BN6" s="86">
        <f>10*LOG10(($O6+NseMeas!T_0+BM6)/($O6+NseMeas!T_0))</f>
        <v>0.13294633293722535</v>
      </c>
      <c r="BO6" s="86">
        <f t="shared" si="33"/>
        <v>0.21430969776299647</v>
      </c>
      <c r="BP6" s="86">
        <f>10*LOG10(($O6+NseMeas!T_0+BO6)/($O6+NseMeas!T_0))</f>
        <v>1.2775098582183202E-3</v>
      </c>
      <c r="BQ6" s="86">
        <f t="shared" si="34"/>
        <v>0</v>
      </c>
      <c r="BR6" s="86">
        <f>10*LOG10(($O6+NseMeas!T_0+BQ6)/($O6+NseMeas!T_0))</f>
        <v>0</v>
      </c>
      <c r="BT6" s="86">
        <f t="shared" si="35"/>
        <v>0</v>
      </c>
      <c r="BU6" s="86">
        <f>10*LOG10(($O6+NseMeas!T_0+BT6)/($O6+NseMeas!T_0))</f>
        <v>0</v>
      </c>
      <c r="BV6" s="86">
        <f t="shared" si="36"/>
        <v>31.956538139874887</v>
      </c>
      <c r="BW6" s="86">
        <f>10*LOG10(($O6+NseMeas!T_0+BV6)/($O6+NseMeas!T_0))</f>
        <v>0.18646168263799462</v>
      </c>
      <c r="BX6" s="175">
        <f>UseUserCal*X6*Calibration!AM6*nSD</f>
        <v>0</v>
      </c>
      <c r="BY6" s="86">
        <f>10*LOG10(($O6+NseMeas!T_0+BX6)/($O6+NseMeas!T_0))</f>
        <v>0</v>
      </c>
      <c r="BZ6" s="168">
        <f>UseUserCal*X6*Calibration!AP6*nSD</f>
        <v>0.20144086277752646</v>
      </c>
      <c r="CA6" s="86">
        <f>10*LOG10(($O6+NseMeas!T_0+BZ6)/($O6+NseMeas!T_0))</f>
        <v>1.2008087516612526E-3</v>
      </c>
      <c r="CB6" s="4">
        <f t="shared" si="37"/>
        <v>31.957173033709893</v>
      </c>
      <c r="CC6" s="86">
        <f>10*LOG10(($O6+NseMeas!T_0+CB6)/($O6+NseMeas!T_0))</f>
        <v>0.18646530874882394</v>
      </c>
    </row>
    <row r="7" spans="1:81">
      <c r="A7" s="4">
        <f t="shared" si="38"/>
        <v>1.1560000000000001</v>
      </c>
      <c r="B7" s="164">
        <f>T_0*(1+10^('Meas. Noise Std'!AA8/10))</f>
        <v>1207.0605214488303</v>
      </c>
      <c r="C7" s="164">
        <f t="shared" si="0"/>
        <v>298</v>
      </c>
      <c r="D7" s="86">
        <f t="shared" si="1"/>
        <v>298</v>
      </c>
      <c r="E7" s="164">
        <f>IF(UsePreamp,T_0*(10^(Preamp!AE8/10)-1),0)</f>
        <v>864.51079460514211</v>
      </c>
      <c r="F7" s="164">
        <f>T_0*(10^((FieldFox!B7-kT0dB)/10)-1)</f>
        <v>3340.2131944609264</v>
      </c>
      <c r="G7" s="86">
        <f>IF(UsePreamp,10^(Preamp!AD8/10),1)</f>
        <v>43.657212230074023</v>
      </c>
      <c r="H7" s="86">
        <f>T_0*(10^(DUT!AE8/10)-1)</f>
        <v>438.4470651377784</v>
      </c>
      <c r="I7" s="86">
        <f>10^(DUT!AD8/10)</f>
        <v>100</v>
      </c>
      <c r="J7" s="87">
        <f t="shared" si="2"/>
        <v>3.5609716070955965E-7</v>
      </c>
      <c r="K7" s="87">
        <f t="shared" si="3"/>
        <v>1.6048993980976267E-7</v>
      </c>
      <c r="L7" s="87">
        <f t="shared" si="4"/>
        <v>1.7931814176493733E-10</v>
      </c>
      <c r="M7" s="87">
        <f>IF(UseUserCal,Calibration!M7,0)</f>
        <v>1.8602122738877052E-9</v>
      </c>
      <c r="N7" s="87">
        <f>IF(UseUserCal,Calibration!L7,1)</f>
        <v>43.657212230074023</v>
      </c>
      <c r="O7" s="165">
        <f t="shared" si="5"/>
        <v>438.44706513777879</v>
      </c>
      <c r="P7" s="86">
        <f t="shared" si="6"/>
        <v>99.999999999999943</v>
      </c>
      <c r="Q7" s="170">
        <f t="shared" si="7"/>
        <v>2.5972941128513833E-7</v>
      </c>
      <c r="R7" s="87">
        <f t="shared" si="8"/>
        <v>9.4342906659928732E-8</v>
      </c>
      <c r="S7" s="87">
        <f t="shared" si="39"/>
        <v>8411955959.3133574</v>
      </c>
      <c r="T7" s="87">
        <f t="shared" si="9"/>
        <v>3764578846.8165169</v>
      </c>
      <c r="U7" s="87">
        <f t="shared" si="10"/>
        <v>0.81004376354428587</v>
      </c>
      <c r="V7" s="87">
        <f t="shared" si="11"/>
        <v>-1.8100437635442859</v>
      </c>
      <c r="W7" s="87">
        <f t="shared" si="12"/>
        <v>2.290572276420191E-4</v>
      </c>
      <c r="X7" s="87">
        <f t="shared" si="40"/>
        <v>4647377112.4968414</v>
      </c>
      <c r="Y7" s="86">
        <f>FieldFox!AG7</f>
        <v>0.1</v>
      </c>
      <c r="Z7" s="86">
        <f>FieldFox!AF7</f>
        <v>0.1</v>
      </c>
      <c r="AA7" s="86">
        <f>FieldFox!AH7</f>
        <v>0.1</v>
      </c>
      <c r="AB7" s="87">
        <f t="shared" si="41"/>
        <v>1.3389238540091567E-3</v>
      </c>
      <c r="AC7" s="87">
        <f t="shared" si="13"/>
        <v>1.3389238540091567E-3</v>
      </c>
      <c r="AD7" s="87">
        <f t="shared" si="14"/>
        <v>1.3389238540091567E-3</v>
      </c>
      <c r="AE7" s="87">
        <f>DUT!AF8</f>
        <v>0.2</v>
      </c>
      <c r="AF7" s="4">
        <f t="shared" si="42"/>
        <v>0.40853898265363492</v>
      </c>
      <c r="AG7" s="4">
        <f>'Meas. Noise Std'!AC8</f>
        <v>0.1</v>
      </c>
      <c r="AH7" s="4">
        <f>'Meas. Noise Std'!AD8</f>
        <v>1</v>
      </c>
      <c r="AI7" s="4">
        <f>DUT!AH8</f>
        <v>0</v>
      </c>
      <c r="AJ7" s="166">
        <f t="shared" si="15"/>
        <v>1.6341559306145403E-2</v>
      </c>
      <c r="AK7" s="166">
        <f t="shared" si="16"/>
        <v>0</v>
      </c>
      <c r="AL7" s="163">
        <f t="shared" si="43"/>
        <v>1.6341559306145403E-2</v>
      </c>
      <c r="AM7" s="4">
        <f t="shared" si="17"/>
        <v>0</v>
      </c>
      <c r="AN7" s="4">
        <f>DUT!AG8</f>
        <v>0.31622776601683794</v>
      </c>
      <c r="AO7" s="4">
        <f>IF(AND(UsePreamp,UseUserCal),Preamp!AF8,0)</f>
        <v>0.17782794100389224</v>
      </c>
      <c r="AP7" s="4">
        <f t="shared" si="44"/>
        <v>0.40853898265363492</v>
      </c>
      <c r="AQ7" s="88">
        <f t="shared" si="18"/>
        <v>1.8075931354885861</v>
      </c>
      <c r="AR7" s="88">
        <f t="shared" si="19"/>
        <v>0</v>
      </c>
      <c r="AS7" s="88">
        <f t="shared" si="45"/>
        <v>1.8075931354885861</v>
      </c>
      <c r="AT7" s="88">
        <f t="shared" si="20"/>
        <v>1.7949021899577333</v>
      </c>
      <c r="AU7" s="88">
        <f t="shared" si="21"/>
        <v>15.978316635763864</v>
      </c>
      <c r="AV7" s="88">
        <f t="shared" si="46"/>
        <v>16.078814520487615</v>
      </c>
      <c r="AW7" s="88">
        <f>X7*Calibration!AT7*UseUserCal</f>
        <v>0.107154704326344</v>
      </c>
      <c r="AX7" s="88">
        <f t="shared" si="22"/>
        <v>1.1158042814009359E-3</v>
      </c>
      <c r="AY7" s="167">
        <f t="shared" si="47"/>
        <v>0.10716051361607314</v>
      </c>
      <c r="AZ7" s="88">
        <f>U7*B7*(10^('Meas. Noise Std'!AB8/(ENRconf*10))-1)</f>
        <v>11.322064386133931</v>
      </c>
      <c r="BA7" s="88">
        <f t="shared" si="23"/>
        <v>0</v>
      </c>
      <c r="BB7" s="88">
        <f t="shared" si="24"/>
        <v>0</v>
      </c>
      <c r="BC7" s="88">
        <f t="shared" si="48"/>
        <v>0</v>
      </c>
      <c r="BD7" s="88">
        <f t="shared" si="25"/>
        <v>19.748323844497527</v>
      </c>
      <c r="BE7" s="4">
        <f t="shared" si="26"/>
        <v>39.496647688995054</v>
      </c>
      <c r="BF7" s="4">
        <f t="shared" si="27"/>
        <v>0.22931391267217405</v>
      </c>
      <c r="BG7" s="88">
        <f t="shared" si="28"/>
        <v>477.94371282677383</v>
      </c>
      <c r="BH7" s="88">
        <f t="shared" si="29"/>
        <v>398.95041744878375</v>
      </c>
      <c r="BI7" s="86">
        <f t="shared" si="30"/>
        <v>5.0947298495601192</v>
      </c>
      <c r="BJ7" s="86">
        <f>10*LOG10(($O7+NseMeas!T_0+BI7)/($O7+NseMeas!T_0))</f>
        <v>3.0268657680870739E-2</v>
      </c>
      <c r="BK7" s="86">
        <f t="shared" si="31"/>
        <v>31.956633271527728</v>
      </c>
      <c r="BL7" s="86">
        <f>10*LOG10(($O7+NseMeas!T_0+BK7)/($O7+NseMeas!T_0))</f>
        <v>0.18646222596984061</v>
      </c>
      <c r="BM7" s="86">
        <f t="shared" si="32"/>
        <v>22.644128772267862</v>
      </c>
      <c r="BN7" s="86">
        <f>10*LOG10(($O7+NseMeas!T_0+BM7)/($O7+NseMeas!T_0))</f>
        <v>0.13294672270982089</v>
      </c>
      <c r="BO7" s="86">
        <f t="shared" si="33"/>
        <v>0.21430940865268799</v>
      </c>
      <c r="BP7" s="86">
        <f>10*LOG10(($O7+NseMeas!T_0+BO7)/($O7+NseMeas!T_0))</f>
        <v>1.2775081350718922E-3</v>
      </c>
      <c r="BQ7" s="86">
        <f t="shared" si="34"/>
        <v>0</v>
      </c>
      <c r="BR7" s="86">
        <f>10*LOG10(($O7+NseMeas!T_0+BQ7)/($O7+NseMeas!T_0))</f>
        <v>0</v>
      </c>
      <c r="BT7" s="86">
        <f t="shared" si="35"/>
        <v>0</v>
      </c>
      <c r="BU7" s="86">
        <f>10*LOG10(($O7+NseMeas!T_0+BT7)/($O7+NseMeas!T_0))</f>
        <v>0</v>
      </c>
      <c r="BV7" s="86">
        <f t="shared" si="36"/>
        <v>31.956633271527728</v>
      </c>
      <c r="BW7" s="86">
        <f>10*LOG10(($O7+NseMeas!T_0+BV7)/($O7+NseMeas!T_0))</f>
        <v>0.18646222596984061</v>
      </c>
      <c r="BX7" s="175">
        <f>UseUserCal*X7*Calibration!AM7*nSD</f>
        <v>0</v>
      </c>
      <c r="BY7" s="86">
        <f>10*LOG10(($O7+NseMeas!T_0+BX7)/($O7+NseMeas!T_0))</f>
        <v>0</v>
      </c>
      <c r="BZ7" s="168">
        <f>UseUserCal*X7*Calibration!AP7*nSD</f>
        <v>0.20144086277752649</v>
      </c>
      <c r="CA7" s="86">
        <f>10*LOG10(($O7+NseMeas!T_0+BZ7)/($O7+NseMeas!T_0))</f>
        <v>1.2008087516612526E-3</v>
      </c>
      <c r="CB7" s="4">
        <f t="shared" si="37"/>
        <v>31.957268163472758</v>
      </c>
      <c r="CC7" s="86">
        <f>10*LOG10(($O7+NseMeas!T_0+CB7)/($O7+NseMeas!T_0))</f>
        <v>0.18646585206942168</v>
      </c>
    </row>
    <row r="8" spans="1:81">
      <c r="A8" s="4">
        <f t="shared" si="38"/>
        <v>1.6840000000000002</v>
      </c>
      <c r="B8" s="164">
        <f>T_0*(1+10^('Meas. Noise Std'!AA9/10))</f>
        <v>1207.0605214488303</v>
      </c>
      <c r="C8" s="164">
        <f t="shared" si="0"/>
        <v>298</v>
      </c>
      <c r="D8" s="86">
        <f t="shared" si="1"/>
        <v>298</v>
      </c>
      <c r="E8" s="164">
        <f>IF(UsePreamp,T_0*(10^(Preamp!AE9/10)-1),0)</f>
        <v>864.51079460514211</v>
      </c>
      <c r="F8" s="164">
        <f>T_0*(10^((FieldFox!B8-kT0dB)/10)-1)</f>
        <v>3340.2131944609264</v>
      </c>
      <c r="G8" s="86">
        <f>IF(UsePreamp,10^(Preamp!AD9/10),1)</f>
        <v>45.059254282454894</v>
      </c>
      <c r="H8" s="86">
        <f>T_0*(10^(DUT!AE9/10)-1)</f>
        <v>438.4470651377784</v>
      </c>
      <c r="I8" s="86">
        <f>10^(DUT!AD9/10)</f>
        <v>100</v>
      </c>
      <c r="J8" s="87">
        <f t="shared" si="2"/>
        <v>3.6752785794573205E-7</v>
      </c>
      <c r="K8" s="87">
        <f t="shared" si="3"/>
        <v>1.6563875289800616E-7</v>
      </c>
      <c r="L8" s="87">
        <f t="shared" si="4"/>
        <v>1.7931814176493733E-10</v>
      </c>
      <c r="M8" s="87">
        <f>IF(UseUserCal,Calibration!M8,0)</f>
        <v>1.9199525940116952E-9</v>
      </c>
      <c r="N8" s="87">
        <f>IF(UseUserCal,Calibration!L8,1)</f>
        <v>45.059254282454901</v>
      </c>
      <c r="O8" s="165">
        <f t="shared" si="5"/>
        <v>438.44706513777862</v>
      </c>
      <c r="P8" s="86">
        <f t="shared" si="6"/>
        <v>99.999999999999943</v>
      </c>
      <c r="Q8" s="170">
        <f t="shared" si="7"/>
        <v>2.6807056589076936E-7</v>
      </c>
      <c r="R8" s="87">
        <f t="shared" si="8"/>
        <v>9.7372708970346182E-8</v>
      </c>
      <c r="S8" s="87">
        <f t="shared" si="39"/>
        <v>8150224109.7142687</v>
      </c>
      <c r="T8" s="87">
        <f t="shared" si="9"/>
        <v>3647452544.9290791</v>
      </c>
      <c r="U8" s="87">
        <f t="shared" si="10"/>
        <v>0.81004609992980736</v>
      </c>
      <c r="V8" s="87">
        <f t="shared" si="11"/>
        <v>-1.8100460999298071</v>
      </c>
      <c r="W8" s="87">
        <f t="shared" si="12"/>
        <v>2.2192999327762489E-4</v>
      </c>
      <c r="X8" s="87">
        <f t="shared" si="40"/>
        <v>4502771564.7851896</v>
      </c>
      <c r="Y8" s="86">
        <f>FieldFox!AG8</f>
        <v>0.1</v>
      </c>
      <c r="Z8" s="86">
        <f>FieldFox!AF8</f>
        <v>0.1</v>
      </c>
      <c r="AA8" s="86">
        <f>FieldFox!AH8</f>
        <v>0.1</v>
      </c>
      <c r="AB8" s="87">
        <f t="shared" si="41"/>
        <v>1.3389238540091567E-3</v>
      </c>
      <c r="AC8" s="87">
        <f t="shared" si="13"/>
        <v>1.3389238540091567E-3</v>
      </c>
      <c r="AD8" s="87">
        <f t="shared" si="14"/>
        <v>1.3389238540091567E-3</v>
      </c>
      <c r="AE8" s="87">
        <f>DUT!AF9</f>
        <v>0.2</v>
      </c>
      <c r="AF8" s="4">
        <f t="shared" si="42"/>
        <v>0.40853898265363492</v>
      </c>
      <c r="AG8" s="4">
        <f>'Meas. Noise Std'!AC9</f>
        <v>0.1</v>
      </c>
      <c r="AH8" s="4">
        <f>'Meas. Noise Std'!AD9</f>
        <v>1</v>
      </c>
      <c r="AI8" s="4">
        <f>DUT!AH9</f>
        <v>0</v>
      </c>
      <c r="AJ8" s="166">
        <f t="shared" si="15"/>
        <v>1.6341559306145403E-2</v>
      </c>
      <c r="AK8" s="166">
        <f t="shared" si="16"/>
        <v>0</v>
      </c>
      <c r="AL8" s="163">
        <f t="shared" si="43"/>
        <v>1.6341559306145403E-2</v>
      </c>
      <c r="AM8" s="4">
        <f t="shared" si="17"/>
        <v>0</v>
      </c>
      <c r="AN8" s="4">
        <f>DUT!AG9</f>
        <v>0.31622776601683794</v>
      </c>
      <c r="AO8" s="4">
        <f>IF(AND(UsePreamp,UseUserCal),Preamp!AF9,0)</f>
        <v>0.17782794100389224</v>
      </c>
      <c r="AP8" s="4">
        <f t="shared" si="44"/>
        <v>0.40853898265363492</v>
      </c>
      <c r="AQ8" s="88">
        <f t="shared" si="18"/>
        <v>1.8075377733701845</v>
      </c>
      <c r="AR8" s="88">
        <f t="shared" si="19"/>
        <v>0</v>
      </c>
      <c r="AS8" s="88">
        <f t="shared" si="45"/>
        <v>1.8075377733701845</v>
      </c>
      <c r="AT8" s="88">
        <f t="shared" si="20"/>
        <v>1.7948815466678976</v>
      </c>
      <c r="AU8" s="88">
        <f t="shared" si="21"/>
        <v>15.978362721554941</v>
      </c>
      <c r="AV8" s="88">
        <f t="shared" si="46"/>
        <v>16.078858013806379</v>
      </c>
      <c r="AW8" s="88">
        <f>X8*Calibration!AT8*UseUserCal</f>
        <v>0.10715456470030388</v>
      </c>
      <c r="AX8" s="88">
        <f t="shared" si="22"/>
        <v>1.0810854528347945E-3</v>
      </c>
      <c r="AY8" s="167">
        <f t="shared" si="47"/>
        <v>0.1071600181124842</v>
      </c>
      <c r="AZ8" s="88">
        <f>U8*B8*(10^('Meas. Noise Std'!AB9/(ENRconf*10))-1)</f>
        <v>11.322097042032903</v>
      </c>
      <c r="BA8" s="88">
        <f t="shared" si="23"/>
        <v>0</v>
      </c>
      <c r="BB8" s="88">
        <f t="shared" si="24"/>
        <v>0</v>
      </c>
      <c r="BC8" s="88">
        <f t="shared" si="48"/>
        <v>0</v>
      </c>
      <c r="BD8" s="88">
        <f t="shared" si="25"/>
        <v>19.748372908394192</v>
      </c>
      <c r="BE8" s="4">
        <f t="shared" si="26"/>
        <v>39.496745816788383</v>
      </c>
      <c r="BF8" s="4">
        <f t="shared" si="27"/>
        <v>0.22931446761332075</v>
      </c>
      <c r="BG8" s="88">
        <f t="shared" si="28"/>
        <v>477.94381095456703</v>
      </c>
      <c r="BH8" s="88">
        <f t="shared" si="29"/>
        <v>398.95031932099022</v>
      </c>
      <c r="BI8" s="86">
        <f t="shared" si="30"/>
        <v>5.0946221596796537</v>
      </c>
      <c r="BJ8" s="86">
        <f>10*LOG10(($O8+NseMeas!T_0+BI8)/($O8+NseMeas!T_0))</f>
        <v>3.0268020101327061E-2</v>
      </c>
      <c r="BK8" s="86">
        <f t="shared" si="31"/>
        <v>31.956725443109882</v>
      </c>
      <c r="BL8" s="86">
        <f>10*LOG10(($O8+NseMeas!T_0+BK8)/($O8+NseMeas!T_0))</f>
        <v>0.18646275239556889</v>
      </c>
      <c r="BM8" s="86">
        <f t="shared" si="32"/>
        <v>22.644194084065806</v>
      </c>
      <c r="BN8" s="86">
        <f>10*LOG10(($O8+NseMeas!T_0+BM8)/($O8+NseMeas!T_0))</f>
        <v>0.13294710035440549</v>
      </c>
      <c r="BO8" s="86">
        <f t="shared" si="33"/>
        <v>0.21430912940060776</v>
      </c>
      <c r="BP8" s="86">
        <f>10*LOG10(($O8+NseMeas!T_0+BO8)/($O8+NseMeas!T_0))</f>
        <v>1.277506470682008E-3</v>
      </c>
      <c r="BQ8" s="86">
        <f t="shared" si="34"/>
        <v>0</v>
      </c>
      <c r="BR8" s="86">
        <f>10*LOG10(($O8+NseMeas!T_0+BQ8)/($O8+NseMeas!T_0))</f>
        <v>0</v>
      </c>
      <c r="BT8" s="86">
        <f t="shared" si="35"/>
        <v>0</v>
      </c>
      <c r="BU8" s="86">
        <f>10*LOG10(($O8+NseMeas!T_0+BT8)/($O8+NseMeas!T_0))</f>
        <v>0</v>
      </c>
      <c r="BV8" s="86">
        <f t="shared" si="36"/>
        <v>31.956725443109882</v>
      </c>
      <c r="BW8" s="86">
        <f>10*LOG10(($O8+NseMeas!T_0+BV8)/($O8+NseMeas!T_0))</f>
        <v>0.18646275239556889</v>
      </c>
      <c r="BX8" s="175">
        <f>UseUserCal*X8*Calibration!AM8*nSD</f>
        <v>0</v>
      </c>
      <c r="BY8" s="86">
        <f>10*LOG10(($O8+NseMeas!T_0+BX8)/($O8+NseMeas!T_0))</f>
        <v>0</v>
      </c>
      <c r="BZ8" s="168">
        <f>UseUserCal*X8*Calibration!AP8*nSD</f>
        <v>0.20144086277752646</v>
      </c>
      <c r="CA8" s="86">
        <f>10*LOG10(($O8+NseMeas!T_0+BZ8)/($O8+NseMeas!T_0))</f>
        <v>1.2008087516612526E-3</v>
      </c>
      <c r="CB8" s="4">
        <f t="shared" si="37"/>
        <v>31.957360333223754</v>
      </c>
      <c r="CC8" s="86">
        <f>10*LOG10(($O8+NseMeas!T_0+CB8)/($O8+NseMeas!T_0))</f>
        <v>0.1864663784842521</v>
      </c>
    </row>
    <row r="9" spans="1:81">
      <c r="A9" s="4">
        <f t="shared" si="38"/>
        <v>2.2120000000000002</v>
      </c>
      <c r="B9" s="164">
        <f>T_0*(1+10^('Meas. Noise Std'!AA10/10))</f>
        <v>1207.0605214488303</v>
      </c>
      <c r="C9" s="164">
        <f t="shared" si="0"/>
        <v>298</v>
      </c>
      <c r="D9" s="86">
        <f t="shared" si="1"/>
        <v>298</v>
      </c>
      <c r="E9" s="164">
        <f>IF(UsePreamp,T_0*(10^(Preamp!AE10/10)-1),0)</f>
        <v>864.51079460514211</v>
      </c>
      <c r="F9" s="164">
        <f>T_0*(10^((FieldFox!B9-kT0dB)/10)-1)</f>
        <v>6953.2275822106776</v>
      </c>
      <c r="G9" s="86">
        <f>IF(UsePreamp,10^(Preamp!AD10/10),1)</f>
        <v>46.506322616089861</v>
      </c>
      <c r="H9" s="86">
        <f>T_0*(10^(DUT!AE10/10)-1)</f>
        <v>438.4470651377784</v>
      </c>
      <c r="I9" s="86">
        <f>10^(DUT!AD10/10)</f>
        <v>100</v>
      </c>
      <c r="J9" s="87">
        <f t="shared" si="2"/>
        <v>3.7950372574142016E-7</v>
      </c>
      <c r="K9" s="87">
        <f t="shared" si="3"/>
        <v>1.7113099517718802E-7</v>
      </c>
      <c r="L9" s="87">
        <f t="shared" si="4"/>
        <v>3.5739429936000216E-10</v>
      </c>
      <c r="M9" s="87">
        <f>IF(UseUserCal,Calibration!M9,0)</f>
        <v>1.9816114617652266E-9</v>
      </c>
      <c r="N9" s="87">
        <f>IF(UseUserCal,Calibration!L9,1)</f>
        <v>46.506322616089854</v>
      </c>
      <c r="O9" s="165">
        <f t="shared" si="5"/>
        <v>438.44706513777857</v>
      </c>
      <c r="P9" s="86">
        <f t="shared" si="6"/>
        <v>99.999999999999986</v>
      </c>
      <c r="Q9" s="170">
        <f t="shared" si="7"/>
        <v>2.7667959489618682E-7</v>
      </c>
      <c r="R9" s="87">
        <f t="shared" si="8"/>
        <v>1.0049981273526815E-7</v>
      </c>
      <c r="S9" s="87">
        <f t="shared" si="39"/>
        <v>7896635537.7797031</v>
      </c>
      <c r="T9" s="87">
        <f t="shared" si="9"/>
        <v>3533970044.1362977</v>
      </c>
      <c r="U9" s="87">
        <f t="shared" si="10"/>
        <v>0.81004836361748245</v>
      </c>
      <c r="V9" s="87">
        <f t="shared" si="11"/>
        <v>-1.8100483636174824</v>
      </c>
      <c r="W9" s="87">
        <f t="shared" si="12"/>
        <v>2.1502452650470991E-4</v>
      </c>
      <c r="X9" s="87">
        <f t="shared" si="40"/>
        <v>4362665493.6434059</v>
      </c>
      <c r="Y9" s="86">
        <f>FieldFox!AG9</f>
        <v>0.1</v>
      </c>
      <c r="Z9" s="86">
        <f>FieldFox!AF9</f>
        <v>0.1</v>
      </c>
      <c r="AA9" s="86">
        <f>FieldFox!AH9</f>
        <v>0.1</v>
      </c>
      <c r="AB9" s="87">
        <f t="shared" si="41"/>
        <v>1.3389238540091567E-3</v>
      </c>
      <c r="AC9" s="87">
        <f t="shared" si="13"/>
        <v>1.3389238540091567E-3</v>
      </c>
      <c r="AD9" s="87">
        <f t="shared" si="14"/>
        <v>1.3389238540091567E-3</v>
      </c>
      <c r="AE9" s="87">
        <f>DUT!AF10</f>
        <v>0.2</v>
      </c>
      <c r="AF9" s="4">
        <f t="shared" si="42"/>
        <v>0.40853898265363492</v>
      </c>
      <c r="AG9" s="4">
        <f>'Meas. Noise Std'!AC10</f>
        <v>0.1</v>
      </c>
      <c r="AH9" s="4">
        <f>'Meas. Noise Std'!AD10</f>
        <v>1</v>
      </c>
      <c r="AI9" s="4">
        <f>DUT!AH10</f>
        <v>0</v>
      </c>
      <c r="AJ9" s="166">
        <f t="shared" si="15"/>
        <v>1.6341559306145403E-2</v>
      </c>
      <c r="AK9" s="166">
        <f t="shared" si="16"/>
        <v>0</v>
      </c>
      <c r="AL9" s="163">
        <f t="shared" si="43"/>
        <v>1.6341559306145403E-2</v>
      </c>
      <c r="AM9" s="4">
        <f t="shared" si="17"/>
        <v>0</v>
      </c>
      <c r="AN9" s="4">
        <f>DUT!AG10</f>
        <v>0.31622776601683794</v>
      </c>
      <c r="AO9" s="4">
        <f>IF(AND(UsePreamp,UseUserCal),Preamp!AF10,0)</f>
        <v>0.17782794100389224</v>
      </c>
      <c r="AP9" s="4">
        <f t="shared" si="44"/>
        <v>0.40853898265363492</v>
      </c>
      <c r="AQ9" s="88">
        <f t="shared" si="18"/>
        <v>1.8093669318209542</v>
      </c>
      <c r="AR9" s="88">
        <f t="shared" si="19"/>
        <v>0</v>
      </c>
      <c r="AS9" s="88">
        <f t="shared" si="45"/>
        <v>1.8093669318209542</v>
      </c>
      <c r="AT9" s="88">
        <f t="shared" si="20"/>
        <v>1.7957041515077095</v>
      </c>
      <c r="AU9" s="88">
        <f t="shared" si="21"/>
        <v>15.978407373362735</v>
      </c>
      <c r="AV9" s="88">
        <f t="shared" si="46"/>
        <v>16.078994234369098</v>
      </c>
      <c r="AW9" s="88">
        <f>X9*Calibration!AT9*UseUserCal</f>
        <v>0.107159078883617</v>
      </c>
      <c r="AX9" s="88">
        <f t="shared" si="22"/>
        <v>2.0876390637930248E-3</v>
      </c>
      <c r="AY9" s="167">
        <f t="shared" si="47"/>
        <v>0.10717941231433362</v>
      </c>
      <c r="AZ9" s="88">
        <f>U9*B9*(10^('Meas. Noise Std'!AB10/(ENRconf*10))-1)</f>
        <v>11.322128681826655</v>
      </c>
      <c r="BA9" s="88">
        <f t="shared" si="23"/>
        <v>0</v>
      </c>
      <c r="BB9" s="88">
        <f t="shared" si="24"/>
        <v>0</v>
      </c>
      <c r="BC9" s="88">
        <f t="shared" si="48"/>
        <v>0</v>
      </c>
      <c r="BD9" s="88">
        <f t="shared" si="25"/>
        <v>19.748669565241798</v>
      </c>
      <c r="BE9" s="4">
        <f t="shared" si="26"/>
        <v>39.497339130483596</v>
      </c>
      <c r="BF9" s="4">
        <f t="shared" si="27"/>
        <v>0.22931782297292769</v>
      </c>
      <c r="BG9" s="88">
        <f t="shared" si="28"/>
        <v>477.94440426826213</v>
      </c>
      <c r="BH9" s="88">
        <f t="shared" si="29"/>
        <v>398.949726007295</v>
      </c>
      <c r="BI9" s="86">
        <f t="shared" si="30"/>
        <v>5.0983787430696266</v>
      </c>
      <c r="BJ9" s="86">
        <f>10*LOG10(($O9+NseMeas!T_0+BI9)/($O9+NseMeas!T_0))</f>
        <v>3.0290260953998616E-2</v>
      </c>
      <c r="BK9" s="86">
        <f t="shared" si="31"/>
        <v>31.95681474672547</v>
      </c>
      <c r="BL9" s="86">
        <f>10*LOG10(($O9+NseMeas!T_0+BK9)/($O9+NseMeas!T_0))</f>
        <v>0.18646326244122724</v>
      </c>
      <c r="BM9" s="86">
        <f t="shared" si="32"/>
        <v>22.64425736365331</v>
      </c>
      <c r="BN9" s="86">
        <f>10*LOG10(($O9+NseMeas!T_0+BM9)/($O9+NseMeas!T_0))</f>
        <v>0.13294746624835191</v>
      </c>
      <c r="BO9" s="86">
        <f t="shared" si="33"/>
        <v>0.21431815776723401</v>
      </c>
      <c r="BP9" s="86">
        <f>10*LOG10(($O9+NseMeas!T_0+BO9)/($O9+NseMeas!T_0))</f>
        <v>1.2775602812712878E-3</v>
      </c>
      <c r="BQ9" s="86">
        <f t="shared" si="34"/>
        <v>0</v>
      </c>
      <c r="BR9" s="86">
        <f>10*LOG10(($O9+NseMeas!T_0+BQ9)/($O9+NseMeas!T_0))</f>
        <v>0</v>
      </c>
      <c r="BT9" s="86">
        <f t="shared" si="35"/>
        <v>0</v>
      </c>
      <c r="BU9" s="86">
        <f>10*LOG10(($O9+NseMeas!T_0+BT9)/($O9+NseMeas!T_0))</f>
        <v>0</v>
      </c>
      <c r="BV9" s="86">
        <f t="shared" si="36"/>
        <v>31.95681474672547</v>
      </c>
      <c r="BW9" s="86">
        <f>10*LOG10(($O9+NseMeas!T_0+BV9)/($O9+NseMeas!T_0))</f>
        <v>0.18646326244122724</v>
      </c>
      <c r="BX9" s="175">
        <f>UseUserCal*X9*Calibration!AM9*nSD</f>
        <v>0</v>
      </c>
      <c r="BY9" s="86">
        <f>10*LOG10(($O9+NseMeas!T_0+BX9)/($O9+NseMeas!T_0))</f>
        <v>0</v>
      </c>
      <c r="BZ9" s="168">
        <f>UseUserCal*X9*Calibration!AP9*nSD</f>
        <v>0.20144086277752649</v>
      </c>
      <c r="CA9" s="86">
        <f>10*LOG10(($O9+NseMeas!T_0+BZ9)/($O9+NseMeas!T_0))</f>
        <v>1.2008087516612526E-3</v>
      </c>
      <c r="CB9" s="4">
        <f t="shared" si="37"/>
        <v>31.957449635065171</v>
      </c>
      <c r="CC9" s="86">
        <f>10*LOG10(($O9+NseMeas!T_0+CB9)/($O9+NseMeas!T_0))</f>
        <v>0.18646688851935142</v>
      </c>
    </row>
    <row r="10" spans="1:81">
      <c r="A10" s="4">
        <f t="shared" si="38"/>
        <v>2.74</v>
      </c>
      <c r="B10" s="164">
        <f>T_0*(1+10^('Meas. Noise Std'!AA11/10))</f>
        <v>1207.0605214488303</v>
      </c>
      <c r="C10" s="164">
        <f t="shared" si="0"/>
        <v>298</v>
      </c>
      <c r="D10" s="86">
        <f t="shared" si="1"/>
        <v>298</v>
      </c>
      <c r="E10" s="164">
        <f>IF(UsePreamp,T_0*(10^(Preamp!AE11/10)-1),0)</f>
        <v>864.51079460514211</v>
      </c>
      <c r="F10" s="164">
        <f>T_0*(10^((FieldFox!B10-kT0dB)/10)-1)</f>
        <v>4280.1676407373407</v>
      </c>
      <c r="G10" s="86">
        <f>IF(UsePreamp,10^(Preamp!AD11/10),1)</f>
        <v>47.99986324039093</v>
      </c>
      <c r="H10" s="86">
        <f>T_0*(10^(DUT!AE11/10)-1)</f>
        <v>438.4470651377784</v>
      </c>
      <c r="I10" s="86">
        <f>10^(DUT!AD11/10)</f>
        <v>100</v>
      </c>
      <c r="J10" s="87">
        <f t="shared" si="2"/>
        <v>3.9154865271177784E-7</v>
      </c>
      <c r="K10" s="87">
        <f t="shared" si="3"/>
        <v>1.7648407638147017E-7</v>
      </c>
      <c r="L10" s="87">
        <f t="shared" si="4"/>
        <v>2.2564607133943044E-10</v>
      </c>
      <c r="M10" s="87">
        <f>IF(UseUserCal,Calibration!M10,0)</f>
        <v>2.0452504908959248E-9</v>
      </c>
      <c r="N10" s="87">
        <f>IF(UseUserCal,Calibration!L10,1)</f>
        <v>47.999863240390923</v>
      </c>
      <c r="O10" s="165">
        <f t="shared" si="5"/>
        <v>438.4470651377784</v>
      </c>
      <c r="P10" s="86">
        <f t="shared" si="6"/>
        <v>100</v>
      </c>
      <c r="Q10" s="170">
        <f t="shared" si="7"/>
        <v>2.855651010305646E-7</v>
      </c>
      <c r="R10" s="87">
        <f t="shared" si="8"/>
        <v>1.0372734277013792E-7</v>
      </c>
      <c r="S10" s="87">
        <f t="shared" si="39"/>
        <v>7650936900.6880369</v>
      </c>
      <c r="T10" s="87">
        <f t="shared" si="9"/>
        <v>3424018005.1622257</v>
      </c>
      <c r="U10" s="87">
        <f t="shared" si="10"/>
        <v>0.81005055686934191</v>
      </c>
      <c r="V10" s="87">
        <f t="shared" si="11"/>
        <v>-1.8100505568693419</v>
      </c>
      <c r="W10" s="87">
        <f t="shared" si="12"/>
        <v>2.083339269097167E-4</v>
      </c>
      <c r="X10" s="87">
        <f t="shared" si="40"/>
        <v>4226918895.5258098</v>
      </c>
      <c r="Y10" s="86">
        <f>FieldFox!AG10</f>
        <v>0.1</v>
      </c>
      <c r="Z10" s="86">
        <f>FieldFox!AF10</f>
        <v>0.1</v>
      </c>
      <c r="AA10" s="86">
        <f>FieldFox!AH10</f>
        <v>0.1</v>
      </c>
      <c r="AB10" s="87">
        <f t="shared" si="41"/>
        <v>1.3389238540091567E-3</v>
      </c>
      <c r="AC10" s="87">
        <f t="shared" si="13"/>
        <v>1.3389238540091567E-3</v>
      </c>
      <c r="AD10" s="87">
        <f t="shared" si="14"/>
        <v>1.3389238540091567E-3</v>
      </c>
      <c r="AE10" s="87">
        <f>DUT!AF11</f>
        <v>0.2</v>
      </c>
      <c r="AF10" s="4">
        <f t="shared" si="42"/>
        <v>0.40853898265363492</v>
      </c>
      <c r="AG10" s="4">
        <f>'Meas. Noise Std'!AC11</f>
        <v>0.1</v>
      </c>
      <c r="AH10" s="4">
        <f>'Meas. Noise Std'!AD11</f>
        <v>1</v>
      </c>
      <c r="AI10" s="4">
        <f>DUT!AH11</f>
        <v>0</v>
      </c>
      <c r="AJ10" s="166">
        <f t="shared" si="15"/>
        <v>1.6341559306145403E-2</v>
      </c>
      <c r="AK10" s="166">
        <f t="shared" si="16"/>
        <v>0</v>
      </c>
      <c r="AL10" s="163">
        <f t="shared" si="43"/>
        <v>1.6341559306145403E-2</v>
      </c>
      <c r="AM10" s="4">
        <f t="shared" si="17"/>
        <v>0</v>
      </c>
      <c r="AN10" s="4">
        <f>DUT!AG11</f>
        <v>0.31622776601683794</v>
      </c>
      <c r="AO10" s="4">
        <f>IF(AND(UsePreamp,UseUserCal),Preamp!AF11,0)</f>
        <v>0.17782794100389224</v>
      </c>
      <c r="AP10" s="4">
        <f t="shared" si="44"/>
        <v>0.40853898265363492</v>
      </c>
      <c r="AQ10" s="88">
        <f t="shared" si="18"/>
        <v>1.8079067473092476</v>
      </c>
      <c r="AR10" s="88">
        <f t="shared" si="19"/>
        <v>0</v>
      </c>
      <c r="AS10" s="88">
        <f t="shared" si="45"/>
        <v>1.8079067473092476</v>
      </c>
      <c r="AT10" s="88">
        <f t="shared" si="20"/>
        <v>1.7950545570333971</v>
      </c>
      <c r="AU10" s="88">
        <f t="shared" si="21"/>
        <v>15.978450635806379</v>
      </c>
      <c r="AV10" s="88">
        <f t="shared" si="46"/>
        <v>16.07896469253004</v>
      </c>
      <c r="AW10" s="88">
        <f>X10*Calibration!AT10*UseUserCal</f>
        <v>0.10715542903807826</v>
      </c>
      <c r="AX10" s="88">
        <f t="shared" si="22"/>
        <v>1.2770490263976273E-3</v>
      </c>
      <c r="AY10" s="167">
        <f t="shared" si="47"/>
        <v>0.10716303852798524</v>
      </c>
      <c r="AZ10" s="88">
        <f>U10*B10*(10^('Meas. Noise Std'!AB11/(ENRconf*10))-1)</f>
        <v>11.322159337131819</v>
      </c>
      <c r="BA10" s="88">
        <f t="shared" si="23"/>
        <v>0</v>
      </c>
      <c r="BB10" s="88">
        <f t="shared" si="24"/>
        <v>0</v>
      </c>
      <c r="BC10" s="88">
        <f t="shared" si="48"/>
        <v>0</v>
      </c>
      <c r="BD10" s="88">
        <f t="shared" si="25"/>
        <v>19.748529270880443</v>
      </c>
      <c r="BE10" s="4">
        <f t="shared" si="26"/>
        <v>39.497058541760886</v>
      </c>
      <c r="BF10" s="4">
        <f t="shared" si="27"/>
        <v>0.22931623616331542</v>
      </c>
      <c r="BG10" s="88">
        <f t="shared" si="28"/>
        <v>477.9441236795393</v>
      </c>
      <c r="BH10" s="88">
        <f t="shared" si="29"/>
        <v>398.95000659601749</v>
      </c>
      <c r="BI10" s="86">
        <f t="shared" si="30"/>
        <v>5.0953897988463588</v>
      </c>
      <c r="BJ10" s="86">
        <f>10*LOG10(($O10+NseMeas!T_0+BI10)/($O10+NseMeas!T_0))</f>
        <v>3.0272564918418194E-2</v>
      </c>
      <c r="BK10" s="86">
        <f t="shared" si="31"/>
        <v>31.956901271612757</v>
      </c>
      <c r="BL10" s="86">
        <f>10*LOG10(($O10+NseMeas!T_0+BK10)/($O10+NseMeas!T_0))</f>
        <v>0.18646375661649317</v>
      </c>
      <c r="BM10" s="86">
        <f t="shared" si="32"/>
        <v>22.644318674263637</v>
      </c>
      <c r="BN10" s="86">
        <f>10*LOG10(($O10+NseMeas!T_0+BM10)/($O10+NseMeas!T_0))</f>
        <v>0.13294782075728959</v>
      </c>
      <c r="BO10" s="86">
        <f t="shared" si="33"/>
        <v>0.21431085807615652</v>
      </c>
      <c r="BP10" s="86">
        <f>10*LOG10(($O10+NseMeas!T_0+BO10)/($O10+NseMeas!T_0))</f>
        <v>1.2775167738803426E-3</v>
      </c>
      <c r="BQ10" s="86">
        <f t="shared" si="34"/>
        <v>0</v>
      </c>
      <c r="BR10" s="86">
        <f>10*LOG10(($O10+NseMeas!T_0+BQ10)/($O10+NseMeas!T_0))</f>
        <v>0</v>
      </c>
      <c r="BT10" s="86">
        <f t="shared" si="35"/>
        <v>0</v>
      </c>
      <c r="BU10" s="86">
        <f>10*LOG10(($O10+NseMeas!T_0+BT10)/($O10+NseMeas!T_0))</f>
        <v>0</v>
      </c>
      <c r="BV10" s="86">
        <f t="shared" si="36"/>
        <v>31.956901271612757</v>
      </c>
      <c r="BW10" s="86">
        <f>10*LOG10(($O10+NseMeas!T_0+BV10)/($O10+NseMeas!T_0))</f>
        <v>0.18646375661649317</v>
      </c>
      <c r="BX10" s="175">
        <f>UseUserCal*X10*Calibration!AM10*nSD</f>
        <v>0</v>
      </c>
      <c r="BY10" s="86">
        <f>10*LOG10(($O10+NseMeas!T_0+BX10)/($O10+NseMeas!T_0))</f>
        <v>0</v>
      </c>
      <c r="BZ10" s="168">
        <f>UseUserCal*X10*Calibration!AP10*nSD</f>
        <v>0.20144086277752643</v>
      </c>
      <c r="CA10" s="86">
        <f>10*LOG10(($O10+NseMeas!T_0+BZ10)/($O10+NseMeas!T_0))</f>
        <v>1.2008087516612526E-3</v>
      </c>
      <c r="CB10" s="4">
        <f t="shared" si="37"/>
        <v>31.957536158233502</v>
      </c>
      <c r="CC10" s="86">
        <f>10*LOG10(($O10+NseMeas!T_0+CB10)/($O10+NseMeas!T_0))</f>
        <v>0.18646738268438753</v>
      </c>
    </row>
    <row r="11" spans="1:81">
      <c r="A11" s="4">
        <f t="shared" si="38"/>
        <v>3.2680000000000002</v>
      </c>
      <c r="B11" s="164">
        <f>T_0*(1+10^('Meas. Noise Std'!AA12/10))</f>
        <v>1207.0605214488303</v>
      </c>
      <c r="C11" s="164">
        <f t="shared" si="0"/>
        <v>298</v>
      </c>
      <c r="D11" s="86">
        <f t="shared" si="1"/>
        <v>298</v>
      </c>
      <c r="E11" s="164">
        <f>IF(UsePreamp,T_0*(10^(Preamp!AE12/10)-1),0)</f>
        <v>864.51079460514211</v>
      </c>
      <c r="F11" s="164">
        <f>T_0*(10^((FieldFox!B11-kT0dB)/10)-1)</f>
        <v>4280.1676407373407</v>
      </c>
      <c r="G11" s="86">
        <f>IF(UsePreamp,10^(Preamp!AD12/10),1)</f>
        <v>49.54136860305352</v>
      </c>
      <c r="H11" s="86">
        <f>T_0*(10^(DUT!AE12/10)-1)</f>
        <v>438.4470651377784</v>
      </c>
      <c r="I11" s="86">
        <f>10^(DUT!AD12/10)</f>
        <v>100</v>
      </c>
      <c r="J11" s="87">
        <f t="shared" si="2"/>
        <v>4.0411637923510865E-7</v>
      </c>
      <c r="K11" s="87">
        <f t="shared" si="3"/>
        <v>1.8214504994028509E-7</v>
      </c>
      <c r="L11" s="87">
        <f t="shared" si="4"/>
        <v>2.2564607133943044E-10</v>
      </c>
      <c r="M11" s="87">
        <f>IF(UseUserCal,Calibration!M11,0)</f>
        <v>2.1109332738637596E-9</v>
      </c>
      <c r="N11" s="87">
        <f>IF(UseUserCal,Calibration!L11,1)</f>
        <v>49.54136860305352</v>
      </c>
      <c r="O11" s="165">
        <f t="shared" si="5"/>
        <v>438.44706513777845</v>
      </c>
      <c r="P11" s="86">
        <f t="shared" si="6"/>
        <v>99.999999999999986</v>
      </c>
      <c r="Q11" s="170">
        <f t="shared" si="7"/>
        <v>2.9473596329788627E-7</v>
      </c>
      <c r="R11" s="87">
        <f t="shared" si="8"/>
        <v>1.0705852424317924E-7</v>
      </c>
      <c r="S11" s="87">
        <f t="shared" si="39"/>
        <v>7412882736.0919981</v>
      </c>
      <c r="T11" s="87">
        <f t="shared" si="9"/>
        <v>3317486612.9223661</v>
      </c>
      <c r="U11" s="87">
        <f t="shared" si="10"/>
        <v>0.81005268187703339</v>
      </c>
      <c r="V11" s="87">
        <f t="shared" si="11"/>
        <v>-1.8100526818770333</v>
      </c>
      <c r="W11" s="87">
        <f t="shared" si="12"/>
        <v>2.0185150878903344E-4</v>
      </c>
      <c r="X11" s="87">
        <f t="shared" si="40"/>
        <v>4095396123.1696324</v>
      </c>
      <c r="Y11" s="86">
        <f>FieldFox!AG11</f>
        <v>0.1</v>
      </c>
      <c r="Z11" s="86">
        <f>FieldFox!AF11</f>
        <v>0.1</v>
      </c>
      <c r="AA11" s="86">
        <f>FieldFox!AH11</f>
        <v>0.1</v>
      </c>
      <c r="AB11" s="87">
        <f t="shared" si="41"/>
        <v>1.3389238540091567E-3</v>
      </c>
      <c r="AC11" s="87">
        <f t="shared" si="13"/>
        <v>1.3389238540091567E-3</v>
      </c>
      <c r="AD11" s="87">
        <f t="shared" si="14"/>
        <v>1.3389238540091567E-3</v>
      </c>
      <c r="AE11" s="87">
        <f>DUT!AF12</f>
        <v>0.2</v>
      </c>
      <c r="AF11" s="4">
        <f t="shared" si="42"/>
        <v>0.40853898265363492</v>
      </c>
      <c r="AG11" s="4">
        <f>'Meas. Noise Std'!AC12</f>
        <v>0.1</v>
      </c>
      <c r="AH11" s="4">
        <f>'Meas. Noise Std'!AD12</f>
        <v>1</v>
      </c>
      <c r="AI11" s="4">
        <f>DUT!AH12</f>
        <v>0</v>
      </c>
      <c r="AJ11" s="166">
        <f t="shared" si="15"/>
        <v>1.6341559306145403E-2</v>
      </c>
      <c r="AK11" s="166">
        <f t="shared" si="16"/>
        <v>0</v>
      </c>
      <c r="AL11" s="163">
        <f t="shared" si="43"/>
        <v>1.6341559306145403E-2</v>
      </c>
      <c r="AM11" s="4">
        <f t="shared" si="17"/>
        <v>0</v>
      </c>
      <c r="AN11" s="4">
        <f>DUT!AG12</f>
        <v>0.31622776601683794</v>
      </c>
      <c r="AO11" s="4">
        <f>IF(AND(UsePreamp,UseUserCal),Preamp!AF12,0)</f>
        <v>0.17782794100389224</v>
      </c>
      <c r="AP11" s="4">
        <f t="shared" si="44"/>
        <v>0.40853898265363492</v>
      </c>
      <c r="AQ11" s="88">
        <f t="shared" si="18"/>
        <v>1.8078416271357018</v>
      </c>
      <c r="AR11" s="88">
        <f t="shared" si="19"/>
        <v>0</v>
      </c>
      <c r="AS11" s="88">
        <f t="shared" si="45"/>
        <v>1.8078416271357018</v>
      </c>
      <c r="AT11" s="88">
        <f t="shared" si="20"/>
        <v>1.7950291729022361</v>
      </c>
      <c r="AU11" s="88">
        <f t="shared" si="21"/>
        <v>15.978492552116679</v>
      </c>
      <c r="AV11" s="88">
        <f t="shared" si="46"/>
        <v>16.079003512954969</v>
      </c>
      <c r="AW11" s="88">
        <f>X11*Calibration!AT11*UseUserCal</f>
        <v>0.10715526465685687</v>
      </c>
      <c r="AX11" s="88">
        <f t="shared" si="22"/>
        <v>1.2373129840135733E-3</v>
      </c>
      <c r="AY11" s="167">
        <f t="shared" si="47"/>
        <v>0.107162407994135</v>
      </c>
      <c r="AZ11" s="88">
        <f>U11*B11*(10^('Meas. Noise Std'!AB12/(ENRconf*10))-1)</f>
        <v>11.322189038581278</v>
      </c>
      <c r="BA11" s="88">
        <f t="shared" si="23"/>
        <v>0</v>
      </c>
      <c r="BB11" s="88">
        <f t="shared" si="24"/>
        <v>0</v>
      </c>
      <c r="BC11" s="88">
        <f t="shared" si="48"/>
        <v>0</v>
      </c>
      <c r="BD11" s="88">
        <f t="shared" si="25"/>
        <v>19.74857194142098</v>
      </c>
      <c r="BE11" s="4">
        <f t="shared" si="26"/>
        <v>39.497143882841961</v>
      </c>
      <c r="BF11" s="4">
        <f t="shared" si="27"/>
        <v>0.22931671879163967</v>
      </c>
      <c r="BG11" s="88">
        <f t="shared" si="28"/>
        <v>477.94420902062041</v>
      </c>
      <c r="BH11" s="88">
        <f t="shared" si="29"/>
        <v>398.9499212549365</v>
      </c>
      <c r="BI11" s="86">
        <f t="shared" si="30"/>
        <v>5.0952615678954771</v>
      </c>
      <c r="BJ11" s="86">
        <f>10*LOG10(($O11+NseMeas!T_0+BI11)/($O11+NseMeas!T_0))</f>
        <v>3.0271805725833281E-2</v>
      </c>
      <c r="BK11" s="86">
        <f t="shared" si="31"/>
        <v>31.956985104233357</v>
      </c>
      <c r="BL11" s="86">
        <f>10*LOG10(($O11+NseMeas!T_0+BK11)/($O11+NseMeas!T_0))</f>
        <v>0.18646423541518589</v>
      </c>
      <c r="BM11" s="86">
        <f t="shared" si="32"/>
        <v>22.644378077162557</v>
      </c>
      <c r="BN11" s="86">
        <f>10*LOG10(($O11+NseMeas!T_0+BM11)/($O11+NseMeas!T_0))</f>
        <v>0.13294816423546946</v>
      </c>
      <c r="BO11" s="86">
        <f t="shared" si="33"/>
        <v>0.21431052931371375</v>
      </c>
      <c r="BP11" s="86">
        <f>10*LOG10(($O11+NseMeas!T_0+BO11)/($O11+NseMeas!T_0))</f>
        <v>1.2775148144004976E-3</v>
      </c>
      <c r="BQ11" s="86">
        <f t="shared" si="34"/>
        <v>0</v>
      </c>
      <c r="BR11" s="86">
        <f>10*LOG10(($O11+NseMeas!T_0+BQ11)/($O11+NseMeas!T_0))</f>
        <v>0</v>
      </c>
      <c r="BT11" s="86">
        <f t="shared" si="35"/>
        <v>0</v>
      </c>
      <c r="BU11" s="86">
        <f>10*LOG10(($O11+NseMeas!T_0+BT11)/($O11+NseMeas!T_0))</f>
        <v>0</v>
      </c>
      <c r="BV11" s="86">
        <f t="shared" si="36"/>
        <v>31.956985104233357</v>
      </c>
      <c r="BW11" s="86">
        <f>10*LOG10(($O11+NseMeas!T_0+BV11)/($O11+NseMeas!T_0))</f>
        <v>0.18646423541518589</v>
      </c>
      <c r="BX11" s="175">
        <f>UseUserCal*X11*Calibration!AM11*nSD</f>
        <v>0</v>
      </c>
      <c r="BY11" s="86">
        <f>10*LOG10(($O11+NseMeas!T_0+BX11)/($O11+NseMeas!T_0))</f>
        <v>0</v>
      </c>
      <c r="BZ11" s="168">
        <f>UseUserCal*X11*Calibration!AP11*nSD</f>
        <v>0.20144086277752646</v>
      </c>
      <c r="CA11" s="86">
        <f>10*LOG10(($O11+NseMeas!T_0+BZ11)/($O11+NseMeas!T_0))</f>
        <v>1.2008087516612526E-3</v>
      </c>
      <c r="CB11" s="4">
        <f t="shared" si="37"/>
        <v>31.95761998918864</v>
      </c>
      <c r="CC11" s="86">
        <f>10*LOG10(($O11+NseMeas!T_0+CB11)/($O11+NseMeas!T_0))</f>
        <v>0.18646786147316813</v>
      </c>
    </row>
    <row r="12" spans="1:81">
      <c r="A12" s="4">
        <f t="shared" si="38"/>
        <v>3.7960000000000003</v>
      </c>
      <c r="B12" s="164">
        <f>T_0*(1+10^('Meas. Noise Std'!AA13/10))</f>
        <v>1207.0605214488303</v>
      </c>
      <c r="C12" s="164">
        <f t="shared" si="0"/>
        <v>298</v>
      </c>
      <c r="D12" s="86">
        <f t="shared" si="1"/>
        <v>298</v>
      </c>
      <c r="E12" s="164">
        <f>IF(UsePreamp,T_0*(10^(Preamp!AE13/10)-1),0)</f>
        <v>864.51079460514211</v>
      </c>
      <c r="F12" s="164">
        <f>T_0*(10^((FieldFox!B12-kT0dB)/10)-1)</f>
        <v>4280.1676407373407</v>
      </c>
      <c r="G12" s="86">
        <f>IF(UsePreamp,10^(Preamp!AD13/10),1)</f>
        <v>51.132379081412324</v>
      </c>
      <c r="H12" s="86">
        <f>T_0*(10^(DUT!AE13/10)-1)</f>
        <v>438.4470651377784</v>
      </c>
      <c r="I12" s="86">
        <f>10^(DUT!AD13/10)</f>
        <v>100</v>
      </c>
      <c r="J12" s="87">
        <f t="shared" si="2"/>
        <v>4.1708771561322534E-7</v>
      </c>
      <c r="K12" s="87">
        <f t="shared" si="3"/>
        <v>1.8798782445663824E-7</v>
      </c>
      <c r="L12" s="87">
        <f t="shared" si="4"/>
        <v>2.2564607133943044E-10</v>
      </c>
      <c r="M12" s="87">
        <f>IF(UseUserCal,Calibration!M12,0)</f>
        <v>2.1787254453869843E-9</v>
      </c>
      <c r="N12" s="87">
        <f>IF(UseUserCal,Calibration!L12,1)</f>
        <v>51.132379081412324</v>
      </c>
      <c r="O12" s="165">
        <f t="shared" si="5"/>
        <v>438.44706513777857</v>
      </c>
      <c r="P12" s="86">
        <f t="shared" si="6"/>
        <v>99.999999999999986</v>
      </c>
      <c r="Q12" s="170">
        <f t="shared" si="7"/>
        <v>3.0420134584945365E-7</v>
      </c>
      <c r="R12" s="87">
        <f t="shared" si="8"/>
        <v>1.104966858982053E-7</v>
      </c>
      <c r="S12" s="87">
        <f t="shared" si="39"/>
        <v>7182235217.0617657</v>
      </c>
      <c r="T12" s="87">
        <f t="shared" si="9"/>
        <v>3214269467.0147786</v>
      </c>
      <c r="U12" s="87">
        <f t="shared" si="10"/>
        <v>0.81005474076400896</v>
      </c>
      <c r="V12" s="87">
        <f t="shared" si="11"/>
        <v>-1.8100547407640089</v>
      </c>
      <c r="W12" s="87">
        <f t="shared" si="12"/>
        <v>1.9557079446818088E-4</v>
      </c>
      <c r="X12" s="87">
        <f t="shared" si="40"/>
        <v>3967965750.0469875</v>
      </c>
      <c r="Y12" s="86">
        <f>FieldFox!AG12</f>
        <v>0.1</v>
      </c>
      <c r="Z12" s="86">
        <f>FieldFox!AF12</f>
        <v>0.1</v>
      </c>
      <c r="AA12" s="86">
        <f>FieldFox!AH12</f>
        <v>0.1</v>
      </c>
      <c r="AB12" s="87">
        <f t="shared" si="41"/>
        <v>1.3389238540091567E-3</v>
      </c>
      <c r="AC12" s="87">
        <f t="shared" si="13"/>
        <v>1.3389238540091567E-3</v>
      </c>
      <c r="AD12" s="87">
        <f t="shared" si="14"/>
        <v>1.3389238540091567E-3</v>
      </c>
      <c r="AE12" s="87">
        <f>DUT!AF13</f>
        <v>0.2</v>
      </c>
      <c r="AF12" s="4">
        <f t="shared" si="42"/>
        <v>0.40853898265363492</v>
      </c>
      <c r="AG12" s="4">
        <f>'Meas. Noise Std'!AC13</f>
        <v>0.1</v>
      </c>
      <c r="AH12" s="4">
        <f>'Meas. Noise Std'!AD13</f>
        <v>1</v>
      </c>
      <c r="AI12" s="4">
        <f>DUT!AH13</f>
        <v>0</v>
      </c>
      <c r="AJ12" s="166">
        <f t="shared" si="15"/>
        <v>1.6341559306145403E-2</v>
      </c>
      <c r="AK12" s="166">
        <f t="shared" si="16"/>
        <v>0</v>
      </c>
      <c r="AL12" s="163">
        <f t="shared" si="43"/>
        <v>1.6341559306145403E-2</v>
      </c>
      <c r="AM12" s="4">
        <f t="shared" si="17"/>
        <v>0</v>
      </c>
      <c r="AN12" s="4">
        <f>DUT!AG13</f>
        <v>0.31622776601683794</v>
      </c>
      <c r="AO12" s="4">
        <f>IF(AND(UsePreamp,UseUserCal),Preamp!AF13,0)</f>
        <v>0.17782794100389224</v>
      </c>
      <c r="AP12" s="4">
        <f t="shared" si="44"/>
        <v>0.40853898265363492</v>
      </c>
      <c r="AQ12" s="88">
        <f t="shared" si="18"/>
        <v>1.807778533059516</v>
      </c>
      <c r="AR12" s="88">
        <f t="shared" si="19"/>
        <v>0</v>
      </c>
      <c r="AS12" s="88">
        <f t="shared" si="45"/>
        <v>1.807778533059516</v>
      </c>
      <c r="AT12" s="88">
        <f t="shared" si="20"/>
        <v>1.7950045784608792</v>
      </c>
      <c r="AU12" s="88">
        <f t="shared" si="21"/>
        <v>15.978533164179252</v>
      </c>
      <c r="AV12" s="88">
        <f t="shared" si="46"/>
        <v>16.079041125498488</v>
      </c>
      <c r="AW12" s="88">
        <f>X12*Calibration!AT12*UseUserCal</f>
        <v>0.10715510593033302</v>
      </c>
      <c r="AX12" s="88">
        <f t="shared" si="22"/>
        <v>1.1988133491845222E-3</v>
      </c>
      <c r="AY12" s="167">
        <f t="shared" si="47"/>
        <v>0.10716181166995579</v>
      </c>
      <c r="AZ12" s="88">
        <f>U12*B12*(10^('Meas. Noise Std'!AB13/(ENRconf*10))-1)</f>
        <v>11.322217815854742</v>
      </c>
      <c r="BA12" s="88">
        <f t="shared" si="23"/>
        <v>0</v>
      </c>
      <c r="BB12" s="88">
        <f t="shared" si="24"/>
        <v>0</v>
      </c>
      <c r="BC12" s="88">
        <f t="shared" si="48"/>
        <v>0</v>
      </c>
      <c r="BD12" s="88">
        <f t="shared" si="25"/>
        <v>19.748613284572702</v>
      </c>
      <c r="BE12" s="4">
        <f t="shared" si="26"/>
        <v>39.497226569145404</v>
      </c>
      <c r="BF12" s="4">
        <f t="shared" si="27"/>
        <v>0.22931718640638182</v>
      </c>
      <c r="BG12" s="88">
        <f t="shared" si="28"/>
        <v>477.94429170692399</v>
      </c>
      <c r="BH12" s="88">
        <f t="shared" si="29"/>
        <v>398.94983856863314</v>
      </c>
      <c r="BI12" s="86">
        <f t="shared" si="30"/>
        <v>5.0951373282531964</v>
      </c>
      <c r="BJ12" s="86">
        <f>10*LOG10(($O12+NseMeas!T_0+BI12)/($O12+NseMeas!T_0))</f>
        <v>3.0271070163702965E-2</v>
      </c>
      <c r="BK12" s="86">
        <f t="shared" si="31"/>
        <v>31.957066328358504</v>
      </c>
      <c r="BL12" s="86">
        <f>10*LOG10(($O12+NseMeas!T_0+BK12)/($O12+NseMeas!T_0))</f>
        <v>0.18646469931575868</v>
      </c>
      <c r="BM12" s="86">
        <f t="shared" si="32"/>
        <v>22.644435631709484</v>
      </c>
      <c r="BN12" s="86">
        <f>10*LOG10(($O12+NseMeas!T_0+BM12)/($O12+NseMeas!T_0))</f>
        <v>0.1329484970261231</v>
      </c>
      <c r="BO12" s="86">
        <f t="shared" si="33"/>
        <v>0.21431021186066604</v>
      </c>
      <c r="BP12" s="86">
        <f>10*LOG10(($O12+NseMeas!T_0+BO12)/($O12+NseMeas!T_0))</f>
        <v>1.2775129223275609E-3</v>
      </c>
      <c r="BQ12" s="86">
        <f t="shared" si="34"/>
        <v>0</v>
      </c>
      <c r="BR12" s="86">
        <f>10*LOG10(($O12+NseMeas!T_0+BQ12)/($O12+NseMeas!T_0))</f>
        <v>0</v>
      </c>
      <c r="BT12" s="86">
        <f t="shared" si="35"/>
        <v>0</v>
      </c>
      <c r="BU12" s="86">
        <f>10*LOG10(($O12+NseMeas!T_0+BT12)/($O12+NseMeas!T_0))</f>
        <v>0</v>
      </c>
      <c r="BV12" s="86">
        <f t="shared" si="36"/>
        <v>31.957066328358504</v>
      </c>
      <c r="BW12" s="86">
        <f>10*LOG10(($O12+NseMeas!T_0+BV12)/($O12+NseMeas!T_0))</f>
        <v>0.18646469931575868</v>
      </c>
      <c r="BX12" s="175">
        <f>UseUserCal*X12*Calibration!AM12*nSD</f>
        <v>0</v>
      </c>
      <c r="BY12" s="86">
        <f>10*LOG10(($O12+NseMeas!T_0+BX12)/($O12+NseMeas!T_0))</f>
        <v>0</v>
      </c>
      <c r="BZ12" s="168">
        <f>UseUserCal*X12*Calibration!AP12*nSD</f>
        <v>0.2014408627775264</v>
      </c>
      <c r="CA12" s="86">
        <f>10*LOG10(($O12+NseMeas!T_0+BZ12)/($O12+NseMeas!T_0))</f>
        <v>1.2008087516612526E-3</v>
      </c>
      <c r="CB12" s="4">
        <f t="shared" si="37"/>
        <v>31.957701211700154</v>
      </c>
      <c r="CC12" s="86">
        <f>10*LOG10(($O12+NseMeas!T_0+CB12)/($O12+NseMeas!T_0))</f>
        <v>0.18646832536413865</v>
      </c>
    </row>
    <row r="13" spans="1:81">
      <c r="A13" s="4">
        <f t="shared" si="38"/>
        <v>4.3239999999999998</v>
      </c>
      <c r="B13" s="164">
        <f>T_0*(1+10^('Meas. Noise Std'!AA14/10))</f>
        <v>1207.0605214488303</v>
      </c>
      <c r="C13" s="164">
        <f t="shared" si="0"/>
        <v>298</v>
      </c>
      <c r="D13" s="86">
        <f t="shared" si="1"/>
        <v>298</v>
      </c>
      <c r="E13" s="164">
        <f>IF(UsePreamp,T_0*(10^(Preamp!AE14/10)-1),0)</f>
        <v>627.06052144883006</v>
      </c>
      <c r="F13" s="164">
        <f>T_0*(10^((FieldFox!B13-kT0dB)/10)-1)</f>
        <v>4280.1676407373407</v>
      </c>
      <c r="G13" s="86">
        <f>IF(UsePreamp,10^(Preamp!AD14/10),1)</f>
        <v>52.774484521691321</v>
      </c>
      <c r="H13" s="86">
        <f>T_0*(10^(DUT!AE14/10)-1)</f>
        <v>438.4470651377784</v>
      </c>
      <c r="I13" s="86">
        <f>10^(DUT!AD14/10)</f>
        <v>100</v>
      </c>
      <c r="J13" s="87">
        <f t="shared" si="2"/>
        <v>4.2985798746718601E-7</v>
      </c>
      <c r="K13" s="87">
        <f t="shared" si="3"/>
        <v>1.9340060220619655E-7</v>
      </c>
      <c r="L13" s="87">
        <f t="shared" si="4"/>
        <v>2.2564607133943044E-10</v>
      </c>
      <c r="M13" s="87">
        <f>IF(UseUserCal,Calibration!M13,0)</f>
        <v>1.6310585247489378E-9</v>
      </c>
      <c r="N13" s="87">
        <f>IF(UseUserCal,Calibration!L13,1)</f>
        <v>52.774484521691321</v>
      </c>
      <c r="O13" s="165">
        <f t="shared" si="5"/>
        <v>438.44706513777834</v>
      </c>
      <c r="P13" s="86">
        <f t="shared" si="6"/>
        <v>100</v>
      </c>
      <c r="Q13" s="170">
        <f t="shared" si="7"/>
        <v>3.139707071413316E-7</v>
      </c>
      <c r="R13" s="87">
        <f t="shared" si="8"/>
        <v>1.1404526338092604E-7</v>
      </c>
      <c r="S13" s="87">
        <f t="shared" si="39"/>
        <v>6958763914.6441193</v>
      </c>
      <c r="T13" s="87">
        <f t="shared" si="9"/>
        <v>3114263475.609592</v>
      </c>
      <c r="U13" s="87">
        <f t="shared" si="10"/>
        <v>0.8100567355876489</v>
      </c>
      <c r="V13" s="87">
        <f t="shared" si="11"/>
        <v>-1.8100567355876489</v>
      </c>
      <c r="W13" s="87">
        <f t="shared" si="12"/>
        <v>1.8948550782887913E-4</v>
      </c>
      <c r="X13" s="87">
        <f t="shared" si="40"/>
        <v>3844500439.0345268</v>
      </c>
      <c r="Y13" s="86">
        <f>FieldFox!AG13</f>
        <v>0.1</v>
      </c>
      <c r="Z13" s="86">
        <f>FieldFox!AF13</f>
        <v>0.1</v>
      </c>
      <c r="AA13" s="86">
        <f>FieldFox!AH13</f>
        <v>0.1</v>
      </c>
      <c r="AB13" s="87">
        <f t="shared" si="41"/>
        <v>1.3389238540091567E-3</v>
      </c>
      <c r="AC13" s="87">
        <f t="shared" si="13"/>
        <v>1.3389238540091567E-3</v>
      </c>
      <c r="AD13" s="87">
        <f t="shared" si="14"/>
        <v>1.3389238540091567E-3</v>
      </c>
      <c r="AE13" s="87">
        <f>DUT!AF14</f>
        <v>0.2</v>
      </c>
      <c r="AF13" s="4">
        <f t="shared" si="42"/>
        <v>0.40853898265363492</v>
      </c>
      <c r="AG13" s="4">
        <f>'Meas. Noise Std'!AC14</f>
        <v>0.1</v>
      </c>
      <c r="AH13" s="4">
        <f>'Meas. Noise Std'!AD14</f>
        <v>1</v>
      </c>
      <c r="AI13" s="4">
        <f>DUT!AH14</f>
        <v>0</v>
      </c>
      <c r="AJ13" s="166">
        <f t="shared" si="15"/>
        <v>1.6341559306145403E-2</v>
      </c>
      <c r="AK13" s="166">
        <f t="shared" si="16"/>
        <v>0</v>
      </c>
      <c r="AL13" s="163">
        <f t="shared" si="43"/>
        <v>1.6341559306145403E-2</v>
      </c>
      <c r="AM13" s="4">
        <f t="shared" si="17"/>
        <v>0</v>
      </c>
      <c r="AN13" s="4">
        <f>DUT!AG14</f>
        <v>0.31622776601683794</v>
      </c>
      <c r="AO13" s="4">
        <f>IF(AND(UsePreamp,UseUserCal),Preamp!AF14,0)</f>
        <v>0.3981071705534972</v>
      </c>
      <c r="AP13" s="4">
        <f t="shared" si="44"/>
        <v>0.40853898265363492</v>
      </c>
      <c r="AQ13" s="88">
        <f t="shared" si="18"/>
        <v>1.8019627278574739</v>
      </c>
      <c r="AR13" s="88">
        <f t="shared" si="19"/>
        <v>0</v>
      </c>
      <c r="AS13" s="88">
        <f t="shared" si="45"/>
        <v>1.8019627278574739</v>
      </c>
      <c r="AT13" s="88">
        <f t="shared" si="20"/>
        <v>1.7924053533062725</v>
      </c>
      <c r="AU13" s="88">
        <f t="shared" si="21"/>
        <v>15.978572512576443</v>
      </c>
      <c r="AV13" s="88">
        <f t="shared" si="46"/>
        <v>16.078790268245445</v>
      </c>
      <c r="AW13" s="88">
        <f>X13*Calibration!AT13*UseUserCal</f>
        <v>0.22842729752819732</v>
      </c>
      <c r="AX13" s="88">
        <f t="shared" si="22"/>
        <v>1.1615116504485378E-3</v>
      </c>
      <c r="AY13" s="167">
        <f t="shared" si="47"/>
        <v>0.22843025054784163</v>
      </c>
      <c r="AZ13" s="88">
        <f>U13*B13*(10^('Meas. Noise Std'!AB14/(ENRconf*10))-1)</f>
        <v>11.322245697708425</v>
      </c>
      <c r="BA13" s="88">
        <f t="shared" si="23"/>
        <v>0</v>
      </c>
      <c r="BB13" s="88">
        <f t="shared" si="24"/>
        <v>0</v>
      </c>
      <c r="BC13" s="88">
        <f t="shared" si="48"/>
        <v>0</v>
      </c>
      <c r="BD13" s="88">
        <f t="shared" si="25"/>
        <v>19.748923874010305</v>
      </c>
      <c r="BE13" s="4">
        <f t="shared" si="26"/>
        <v>39.497847748020611</v>
      </c>
      <c r="BF13" s="4">
        <f t="shared" si="27"/>
        <v>0.22932069934933311</v>
      </c>
      <c r="BG13" s="88">
        <f t="shared" si="28"/>
        <v>477.94491288579894</v>
      </c>
      <c r="BH13" s="88">
        <f t="shared" si="29"/>
        <v>398.94921738975773</v>
      </c>
      <c r="BI13" s="86">
        <f t="shared" si="30"/>
        <v>5.0832225889716245</v>
      </c>
      <c r="BJ13" s="86">
        <f>10*LOG10(($O13+NseMeas!T_0+BI13)/($O13+NseMeas!T_0))</f>
        <v>3.0200528243545108E-2</v>
      </c>
      <c r="BK13" s="86">
        <f t="shared" si="31"/>
        <v>31.957145025152887</v>
      </c>
      <c r="BL13" s="86">
        <f>10*LOG10(($O13+NseMeas!T_0+BK13)/($O13+NseMeas!T_0))</f>
        <v>0.18646514878177822</v>
      </c>
      <c r="BM13" s="86">
        <f t="shared" si="32"/>
        <v>22.64449139541685</v>
      </c>
      <c r="BN13" s="86">
        <f>10*LOG10(($O13+NseMeas!T_0+BM13)/($O13+NseMeas!T_0))</f>
        <v>0.13294881946179757</v>
      </c>
      <c r="BO13" s="86">
        <f t="shared" si="33"/>
        <v>0.45685459505639464</v>
      </c>
      <c r="BP13" s="86">
        <f>10*LOG10(($O13+NseMeas!T_0+BO13)/($O13+NseMeas!T_0))</f>
        <v>2.7228778547414598E-3</v>
      </c>
      <c r="BQ13" s="86">
        <f t="shared" si="34"/>
        <v>0</v>
      </c>
      <c r="BR13" s="86">
        <f>10*LOG10(($O13+NseMeas!T_0+BQ13)/($O13+NseMeas!T_0))</f>
        <v>0</v>
      </c>
      <c r="BT13" s="86">
        <f t="shared" si="35"/>
        <v>0</v>
      </c>
      <c r="BU13" s="86">
        <f>10*LOG10(($O13+NseMeas!T_0+BT13)/($O13+NseMeas!T_0))</f>
        <v>0</v>
      </c>
      <c r="BV13" s="86">
        <f t="shared" si="36"/>
        <v>31.957145025152887</v>
      </c>
      <c r="BW13" s="86">
        <f>10*LOG10(($O13+NseMeas!T_0+BV13)/($O13+NseMeas!T_0))</f>
        <v>0.18646514878177822</v>
      </c>
      <c r="BX13" s="175">
        <f>UseUserCal*X13*Calibration!AM13*nSD</f>
        <v>0</v>
      </c>
      <c r="BY13" s="86">
        <f>10*LOG10(($O13+NseMeas!T_0+BX13)/($O13+NseMeas!T_0))</f>
        <v>0</v>
      </c>
      <c r="BZ13" s="168">
        <f>UseUserCal*X13*Calibration!AP13*nSD</f>
        <v>0.45096991767149253</v>
      </c>
      <c r="CA13" s="86">
        <f>10*LOG10(($O13+NseMeas!T_0+BZ13)/($O13+NseMeas!T_0))</f>
        <v>2.6878157133072068E-3</v>
      </c>
      <c r="CB13" s="4">
        <f t="shared" si="37"/>
        <v>31.960326844782088</v>
      </c>
      <c r="CC13" s="86">
        <f>10*LOG10(($O13+NseMeas!T_0+CB13)/($O13+NseMeas!T_0))</f>
        <v>0.18648332127211764</v>
      </c>
    </row>
    <row r="14" spans="1:81">
      <c r="A14" s="4">
        <f t="shared" si="38"/>
        <v>4.8520000000000003</v>
      </c>
      <c r="B14" s="164">
        <f>T_0*(1+10^('Meas. Noise Std'!AA15/10))</f>
        <v>1207.0605214488303</v>
      </c>
      <c r="C14" s="164">
        <f t="shared" si="0"/>
        <v>298</v>
      </c>
      <c r="D14" s="86">
        <f t="shared" si="1"/>
        <v>298</v>
      </c>
      <c r="E14" s="164">
        <f>IF(UsePreamp,T_0*(10^(Preamp!AE15/10)-1),0)</f>
        <v>627.06052144883006</v>
      </c>
      <c r="F14" s="164">
        <f>T_0*(10^((FieldFox!B14-kT0dB)/10)-1)</f>
        <v>6953.2275822106776</v>
      </c>
      <c r="G14" s="86">
        <f>IF(UsePreamp,10^(Preamp!AD15/10),1)</f>
        <v>54.469325827686617</v>
      </c>
      <c r="H14" s="86">
        <f>T_0*(10^(DUT!AE15/10)-1)</f>
        <v>438.4470651377784</v>
      </c>
      <c r="I14" s="86">
        <f>10^(DUT!AD15/10)</f>
        <v>100</v>
      </c>
      <c r="J14" s="87">
        <f t="shared" si="2"/>
        <v>4.4378775832729374E-7</v>
      </c>
      <c r="K14" s="87">
        <f t="shared" si="3"/>
        <v>1.9973659460915515E-7</v>
      </c>
      <c r="L14" s="87">
        <f t="shared" si="4"/>
        <v>3.5739429936000216E-10</v>
      </c>
      <c r="M14" s="87">
        <f>IF(UseUserCal,Calibration!M14,0)</f>
        <v>1.6834396211309218E-9</v>
      </c>
      <c r="N14" s="87">
        <f>IF(UseUserCal,Calibration!L14,1)</f>
        <v>54.469325827686646</v>
      </c>
      <c r="O14" s="165">
        <f t="shared" si="5"/>
        <v>438.4470651377784</v>
      </c>
      <c r="P14" s="86">
        <f t="shared" si="6"/>
        <v>99.999999999999943</v>
      </c>
      <c r="Q14" s="170">
        <f t="shared" si="7"/>
        <v>3.2405380938588248E-7</v>
      </c>
      <c r="R14" s="87">
        <f t="shared" si="8"/>
        <v>1.1770780267208031E-7</v>
      </c>
      <c r="S14" s="87">
        <f t="shared" si="39"/>
        <v>6742245567.8011541</v>
      </c>
      <c r="T14" s="87">
        <f t="shared" si="9"/>
        <v>3017368752.6316533</v>
      </c>
      <c r="U14" s="87">
        <f t="shared" si="10"/>
        <v>0.81005866834131768</v>
      </c>
      <c r="V14" s="87">
        <f t="shared" si="11"/>
        <v>-1.8100586683413178</v>
      </c>
      <c r="W14" s="87">
        <f t="shared" si="12"/>
        <v>1.8358956803752154E-4</v>
      </c>
      <c r="X14" s="87">
        <f t="shared" si="40"/>
        <v>3724876815.1695004</v>
      </c>
      <c r="Y14" s="86">
        <f>FieldFox!AG14</f>
        <v>0.1</v>
      </c>
      <c r="Z14" s="86">
        <f>FieldFox!AF14</f>
        <v>0.1</v>
      </c>
      <c r="AA14" s="86">
        <f>FieldFox!AH14</f>
        <v>0.1</v>
      </c>
      <c r="AB14" s="87">
        <f t="shared" si="41"/>
        <v>1.3389238540091567E-3</v>
      </c>
      <c r="AC14" s="87">
        <f t="shared" si="13"/>
        <v>1.3389238540091567E-3</v>
      </c>
      <c r="AD14" s="87">
        <f t="shared" si="14"/>
        <v>1.3389238540091567E-3</v>
      </c>
      <c r="AE14" s="87">
        <f>DUT!AF15</f>
        <v>0.2</v>
      </c>
      <c r="AF14" s="4">
        <f t="shared" si="42"/>
        <v>0.40853898265363492</v>
      </c>
      <c r="AG14" s="4">
        <f>'Meas. Noise Std'!AC15</f>
        <v>0.1</v>
      </c>
      <c r="AH14" s="4">
        <f>'Meas. Noise Std'!AD15</f>
        <v>1</v>
      </c>
      <c r="AI14" s="4">
        <f>DUT!AH15</f>
        <v>0</v>
      </c>
      <c r="AJ14" s="166">
        <f t="shared" si="15"/>
        <v>1.6341559306145403E-2</v>
      </c>
      <c r="AK14" s="166">
        <f t="shared" si="16"/>
        <v>0</v>
      </c>
      <c r="AL14" s="163">
        <f t="shared" si="43"/>
        <v>1.6341559306145403E-2</v>
      </c>
      <c r="AM14" s="4">
        <f t="shared" si="17"/>
        <v>0</v>
      </c>
      <c r="AN14" s="4">
        <f>DUT!AG15</f>
        <v>0.31622776601683794</v>
      </c>
      <c r="AO14" s="4">
        <f>IF(AND(UsePreamp,UseUserCal),Preamp!AF15,0)</f>
        <v>0.3981071705534972</v>
      </c>
      <c r="AP14" s="4">
        <f t="shared" si="44"/>
        <v>0.40853898265363492</v>
      </c>
      <c r="AQ14" s="88">
        <f t="shared" si="18"/>
        <v>1.8030928305073222</v>
      </c>
      <c r="AR14" s="88">
        <f t="shared" si="19"/>
        <v>0</v>
      </c>
      <c r="AS14" s="88">
        <f t="shared" si="45"/>
        <v>1.8030928305073222</v>
      </c>
      <c r="AT14" s="88">
        <f t="shared" si="20"/>
        <v>1.7929145255746293</v>
      </c>
      <c r="AU14" s="88">
        <f t="shared" si="21"/>
        <v>15.978610636627867</v>
      </c>
      <c r="AV14" s="88">
        <f t="shared" si="46"/>
        <v>16.078884923183377</v>
      </c>
      <c r="AW14" s="88">
        <f>X14*Calibration!AT14*UseUserCal</f>
        <v>0.22842840353373875</v>
      </c>
      <c r="AX14" s="88">
        <f t="shared" si="22"/>
        <v>1.78244203194012E-3</v>
      </c>
      <c r="AY14" s="167">
        <f t="shared" si="47"/>
        <v>0.22843535768477222</v>
      </c>
      <c r="AZ14" s="88">
        <f>U14*B14*(10^('Meas. Noise Std'!AB15/(ENRconf*10))-1)</f>
        <v>11.32227271200378</v>
      </c>
      <c r="BA14" s="88">
        <f t="shared" si="23"/>
        <v>0</v>
      </c>
      <c r="BB14" s="88">
        <f t="shared" si="24"/>
        <v>0</v>
      </c>
      <c r="BC14" s="88">
        <f t="shared" si="48"/>
        <v>0</v>
      </c>
      <c r="BD14" s="88">
        <f t="shared" si="25"/>
        <v>19.749119631163982</v>
      </c>
      <c r="BE14" s="4">
        <f t="shared" si="26"/>
        <v>39.498239262327964</v>
      </c>
      <c r="BF14" s="4">
        <f t="shared" si="27"/>
        <v>0.22932291347247025</v>
      </c>
      <c r="BG14" s="88">
        <f t="shared" si="28"/>
        <v>477.94530440010635</v>
      </c>
      <c r="BH14" s="88">
        <f t="shared" si="29"/>
        <v>398.94882587545044</v>
      </c>
      <c r="BI14" s="86">
        <f t="shared" si="30"/>
        <v>5.0855439939274936</v>
      </c>
      <c r="BJ14" s="86">
        <f>10*LOG10(($O14+NseMeas!T_0+BI14)/($O14+NseMeas!T_0))</f>
        <v>3.0214272349060985E-2</v>
      </c>
      <c r="BK14" s="86">
        <f t="shared" si="31"/>
        <v>31.957221273255733</v>
      </c>
      <c r="BL14" s="86">
        <f>10*LOG10(($O14+NseMeas!T_0+BK14)/($O14+NseMeas!T_0))</f>
        <v>0.18646558426238491</v>
      </c>
      <c r="BM14" s="86">
        <f t="shared" si="32"/>
        <v>22.644545424007561</v>
      </c>
      <c r="BN14" s="86">
        <f>10*LOG10(($O14+NseMeas!T_0+BM14)/($O14+NseMeas!T_0))</f>
        <v>0.1329491318646967</v>
      </c>
      <c r="BO14" s="86">
        <f t="shared" si="33"/>
        <v>0.4568568070674775</v>
      </c>
      <c r="BP14" s="86">
        <f>10*LOG10(($O14+NseMeas!T_0+BO14)/($O14+NseMeas!T_0))</f>
        <v>2.7228910343134131E-3</v>
      </c>
      <c r="BQ14" s="86">
        <f t="shared" si="34"/>
        <v>0</v>
      </c>
      <c r="BR14" s="86">
        <f>10*LOG10(($O14+NseMeas!T_0+BQ14)/($O14+NseMeas!T_0))</f>
        <v>0</v>
      </c>
      <c r="BT14" s="86">
        <f t="shared" si="35"/>
        <v>0</v>
      </c>
      <c r="BU14" s="86">
        <f>10*LOG10(($O14+NseMeas!T_0+BT14)/($O14+NseMeas!T_0))</f>
        <v>0</v>
      </c>
      <c r="BV14" s="86">
        <f t="shared" si="36"/>
        <v>31.957221273255733</v>
      </c>
      <c r="BW14" s="86">
        <f>10*LOG10(($O14+NseMeas!T_0+BV14)/($O14+NseMeas!T_0))</f>
        <v>0.18646558426238491</v>
      </c>
      <c r="BX14" s="175">
        <f>UseUserCal*X14*Calibration!AM14*nSD</f>
        <v>0</v>
      </c>
      <c r="BY14" s="86">
        <f>10*LOG10(($O14+NseMeas!T_0+BX14)/($O14+NseMeas!T_0))</f>
        <v>0</v>
      </c>
      <c r="BZ14" s="168">
        <f>UseUserCal*X14*Calibration!AP14*nSD</f>
        <v>0.45096991767149269</v>
      </c>
      <c r="CA14" s="86">
        <f>10*LOG10(($O14+NseMeas!T_0+BZ14)/($O14+NseMeas!T_0))</f>
        <v>2.6878157133072068E-3</v>
      </c>
      <c r="CB14" s="4">
        <f t="shared" si="37"/>
        <v>31.96040308529405</v>
      </c>
      <c r="CC14" s="86">
        <f>10*LOG10(($O14+NseMeas!T_0+CB14)/($O14+NseMeas!T_0))</f>
        <v>0.18648375670754747</v>
      </c>
    </row>
    <row r="15" spans="1:81">
      <c r="A15" s="4">
        <f t="shared" si="38"/>
        <v>5.3800000000000008</v>
      </c>
      <c r="B15" s="164">
        <f>T_0*(1+10^('Meas. Noise Std'!AA16/10))</f>
        <v>1207.0605214488303</v>
      </c>
      <c r="C15" s="164">
        <f t="shared" si="0"/>
        <v>298</v>
      </c>
      <c r="D15" s="86">
        <f t="shared" si="1"/>
        <v>298</v>
      </c>
      <c r="E15" s="164">
        <f>IF(UsePreamp,T_0*(10^(Preamp!AE16/10)-1),0)</f>
        <v>627.06052144883006</v>
      </c>
      <c r="F15" s="164">
        <f>T_0*(10^((FieldFox!B15-kT0dB)/10)-1)</f>
        <v>6953.2275822106776</v>
      </c>
      <c r="G15" s="86">
        <f>IF(UsePreamp,10^(Preamp!AD16/10),1)</f>
        <v>56.218596600469581</v>
      </c>
      <c r="H15" s="86">
        <f>T_0*(10^(DUT!AE16/10)-1)</f>
        <v>438.4470651377784</v>
      </c>
      <c r="I15" s="86">
        <f>10^(DUT!AD16/10)</f>
        <v>100</v>
      </c>
      <c r="J15" s="87">
        <f t="shared" si="2"/>
        <v>4.580289015110997E-7</v>
      </c>
      <c r="K15" s="87">
        <f t="shared" si="3"/>
        <v>2.0614008676151019E-7</v>
      </c>
      <c r="L15" s="87">
        <f t="shared" si="4"/>
        <v>3.5739429936000216E-10</v>
      </c>
      <c r="M15" s="87">
        <f>IF(UseUserCal,Calibration!M15,0)</f>
        <v>1.7375029252427634E-9</v>
      </c>
      <c r="N15" s="87">
        <f>IF(UseUserCal,Calibration!L15,1)</f>
        <v>56.218596600469581</v>
      </c>
      <c r="O15" s="165">
        <f t="shared" si="5"/>
        <v>438.44706513777879</v>
      </c>
      <c r="P15" s="86">
        <f t="shared" si="6"/>
        <v>99.999999999999957</v>
      </c>
      <c r="Q15" s="170">
        <f t="shared" si="7"/>
        <v>3.3446072830683555E-7</v>
      </c>
      <c r="R15" s="87">
        <f t="shared" si="8"/>
        <v>1.2148796363082152E-7</v>
      </c>
      <c r="S15" s="87">
        <f t="shared" si="39"/>
        <v>6532463860.4994555</v>
      </c>
      <c r="T15" s="87">
        <f t="shared" si="9"/>
        <v>2923488518.1343899</v>
      </c>
      <c r="U15" s="87">
        <f t="shared" si="10"/>
        <v>0.81006054095635449</v>
      </c>
      <c r="V15" s="87">
        <f t="shared" si="11"/>
        <v>-1.8100605409563546</v>
      </c>
      <c r="W15" s="87">
        <f t="shared" si="12"/>
        <v>1.778770834687908E-4</v>
      </c>
      <c r="X15" s="87">
        <f t="shared" si="40"/>
        <v>3608975342.3650656</v>
      </c>
      <c r="Y15" s="86">
        <f>FieldFox!AG15</f>
        <v>0.1</v>
      </c>
      <c r="Z15" s="86">
        <f>FieldFox!AF15</f>
        <v>0.1</v>
      </c>
      <c r="AA15" s="86">
        <f>FieldFox!AH15</f>
        <v>0.1</v>
      </c>
      <c r="AB15" s="87">
        <f t="shared" si="41"/>
        <v>1.3389238540091567E-3</v>
      </c>
      <c r="AC15" s="87">
        <f t="shared" si="13"/>
        <v>1.3389238540091567E-3</v>
      </c>
      <c r="AD15" s="87">
        <f t="shared" si="14"/>
        <v>1.3389238540091567E-3</v>
      </c>
      <c r="AE15" s="87">
        <f>DUT!AF16</f>
        <v>0.2</v>
      </c>
      <c r="AF15" s="4">
        <f t="shared" si="42"/>
        <v>0.40853898265363492</v>
      </c>
      <c r="AG15" s="4">
        <f>'Meas. Noise Std'!AC16</f>
        <v>0.1</v>
      </c>
      <c r="AH15" s="4">
        <f>'Meas. Noise Std'!AD16</f>
        <v>1</v>
      </c>
      <c r="AI15" s="4">
        <f>DUT!AH16</f>
        <v>0</v>
      </c>
      <c r="AJ15" s="166">
        <f t="shared" si="15"/>
        <v>1.6341559306145403E-2</v>
      </c>
      <c r="AK15" s="166">
        <f t="shared" si="16"/>
        <v>0</v>
      </c>
      <c r="AL15" s="163">
        <f t="shared" si="43"/>
        <v>1.6341559306145403E-2</v>
      </c>
      <c r="AM15" s="4">
        <f t="shared" si="17"/>
        <v>0</v>
      </c>
      <c r="AN15" s="4">
        <f>DUT!AG16</f>
        <v>0.31622776601683794</v>
      </c>
      <c r="AO15" s="4">
        <f>IF(AND(UsePreamp,UseUserCal),Preamp!AF16,0)</f>
        <v>0.3981071705534972</v>
      </c>
      <c r="AP15" s="4">
        <f t="shared" si="44"/>
        <v>0.40853898265363492</v>
      </c>
      <c r="AQ15" s="88">
        <f t="shared" si="18"/>
        <v>1.8029984326781967</v>
      </c>
      <c r="AR15" s="88">
        <f t="shared" si="19"/>
        <v>0</v>
      </c>
      <c r="AS15" s="88">
        <f t="shared" si="45"/>
        <v>1.8029984326781967</v>
      </c>
      <c r="AT15" s="88">
        <f t="shared" si="20"/>
        <v>1.792875589353214</v>
      </c>
      <c r="AU15" s="88">
        <f t="shared" si="21"/>
        <v>15.97864757442969</v>
      </c>
      <c r="AV15" s="88">
        <f t="shared" si="46"/>
        <v>16.078917289006945</v>
      </c>
      <c r="AW15" s="88">
        <f>X15*Calibration!AT15*UseUserCal</f>
        <v>0.22842830514477311</v>
      </c>
      <c r="AX15" s="88">
        <f t="shared" si="22"/>
        <v>1.7269804242302856E-3</v>
      </c>
      <c r="AY15" s="167">
        <f t="shared" si="47"/>
        <v>0.22843483327351644</v>
      </c>
      <c r="AZ15" s="88">
        <f>U15*B15*(10^('Meas. Noise Std'!AB16/(ENRconf*10))-1)</f>
        <v>11.322298885735339</v>
      </c>
      <c r="BA15" s="88">
        <f t="shared" si="23"/>
        <v>0</v>
      </c>
      <c r="BB15" s="88">
        <f t="shared" si="24"/>
        <v>0</v>
      </c>
      <c r="BC15" s="88">
        <f t="shared" si="48"/>
        <v>0</v>
      </c>
      <c r="BD15" s="88">
        <f t="shared" si="25"/>
        <v>19.749152363226703</v>
      </c>
      <c r="BE15" s="4">
        <f t="shared" si="26"/>
        <v>39.498304726453405</v>
      </c>
      <c r="BF15" s="4">
        <f t="shared" si="27"/>
        <v>0.22932328369033692</v>
      </c>
      <c r="BG15" s="88">
        <f t="shared" si="28"/>
        <v>477.94536986423219</v>
      </c>
      <c r="BH15" s="88">
        <f t="shared" si="29"/>
        <v>398.9487604113254</v>
      </c>
      <c r="BI15" s="86">
        <f t="shared" si="30"/>
        <v>5.0853551339508449</v>
      </c>
      <c r="BJ15" s="86">
        <f>10*LOG10(($O15+NseMeas!T_0+BI15)/($O15+NseMeas!T_0))</f>
        <v>3.0213154186688088E-2</v>
      </c>
      <c r="BK15" s="86">
        <f t="shared" si="31"/>
        <v>31.95729514885938</v>
      </c>
      <c r="BL15" s="86">
        <f>10*LOG10(($O15+NseMeas!T_0+BK15)/($O15+NseMeas!T_0))</f>
        <v>0.18646600619274536</v>
      </c>
      <c r="BM15" s="86">
        <f t="shared" si="32"/>
        <v>22.644597771470679</v>
      </c>
      <c r="BN15" s="86">
        <f>10*LOG10(($O15+NseMeas!T_0+BM15)/($O15+NseMeas!T_0))</f>
        <v>0.13294943454699648</v>
      </c>
      <c r="BO15" s="86">
        <f t="shared" si="33"/>
        <v>0.45685661028954622</v>
      </c>
      <c r="BP15" s="86">
        <f>10*LOG10(($O15+NseMeas!T_0+BO15)/($O15+NseMeas!T_0))</f>
        <v>2.7228898618739676E-3</v>
      </c>
      <c r="BQ15" s="86">
        <f t="shared" si="34"/>
        <v>0</v>
      </c>
      <c r="BR15" s="86">
        <f>10*LOG10(($O15+NseMeas!T_0+BQ15)/($O15+NseMeas!T_0))</f>
        <v>0</v>
      </c>
      <c r="BT15" s="86">
        <f t="shared" si="35"/>
        <v>0</v>
      </c>
      <c r="BU15" s="86">
        <f>10*LOG10(($O15+NseMeas!T_0+BT15)/($O15+NseMeas!T_0))</f>
        <v>0</v>
      </c>
      <c r="BV15" s="86">
        <f t="shared" si="36"/>
        <v>31.95729514885938</v>
      </c>
      <c r="BW15" s="86">
        <f>10*LOG10(($O15+NseMeas!T_0+BV15)/($O15+NseMeas!T_0))</f>
        <v>0.18646600619274536</v>
      </c>
      <c r="BX15" s="175">
        <f>UseUserCal*X15*Calibration!AM15*nSD</f>
        <v>0</v>
      </c>
      <c r="BY15" s="86">
        <f>10*LOG10(($O15+NseMeas!T_0+BX15)/($O15+NseMeas!T_0))</f>
        <v>0</v>
      </c>
      <c r="BZ15" s="168">
        <f>UseUserCal*X15*Calibration!AP15*nSD</f>
        <v>0.45096991767149291</v>
      </c>
      <c r="CA15" s="86">
        <f>10*LOG10(($O15+NseMeas!T_0+BZ15)/($O15+NseMeas!T_0))</f>
        <v>2.6878157133072068E-3</v>
      </c>
      <c r="CB15" s="4">
        <f t="shared" si="37"/>
        <v>31.96047695354304</v>
      </c>
      <c r="CC15" s="86">
        <f>10*LOG10(($O15+NseMeas!T_0+CB15)/($O15+NseMeas!T_0))</f>
        <v>0.18648417859413741</v>
      </c>
    </row>
    <row r="16" spans="1:81">
      <c r="A16" s="4">
        <f t="shared" si="38"/>
        <v>5.9080000000000013</v>
      </c>
      <c r="B16" s="164">
        <f>T_0*(1+10^('Meas. Noise Std'!AA17/10))</f>
        <v>1207.0605214488303</v>
      </c>
      <c r="C16" s="164">
        <f t="shared" si="0"/>
        <v>298</v>
      </c>
      <c r="D16" s="86">
        <f t="shared" si="1"/>
        <v>298</v>
      </c>
      <c r="E16" s="164">
        <f>IF(UsePreamp,T_0*(10^(Preamp!AE17/10)-1),0)</f>
        <v>627.06052144883006</v>
      </c>
      <c r="F16" s="164">
        <f>T_0*(10^((FieldFox!B16-kT0dB)/10)-1)</f>
        <v>6953.2275822106776</v>
      </c>
      <c r="G16" s="86">
        <f>IF(UsePreamp,10^(Preamp!AD17/10),1)</f>
        <v>58.024044830748394</v>
      </c>
      <c r="H16" s="86">
        <f>T_0*(10^(DUT!AE17/10)-1)</f>
        <v>438.4470651377784</v>
      </c>
      <c r="I16" s="86">
        <f>10^(DUT!AD17/10)</f>
        <v>100</v>
      </c>
      <c r="J16" s="87">
        <f t="shared" si="2"/>
        <v>4.7272739596856126E-7</v>
      </c>
      <c r="K16" s="87">
        <f t="shared" si="3"/>
        <v>2.1274922569754846E-7</v>
      </c>
      <c r="L16" s="87">
        <f t="shared" si="4"/>
        <v>3.5739429936000216E-10</v>
      </c>
      <c r="M16" s="87">
        <f>IF(UseUserCal,Calibration!M16,0)</f>
        <v>1.7933024608266448E-9</v>
      </c>
      <c r="N16" s="87">
        <f>IF(UseUserCal,Calibration!L16,1)</f>
        <v>58.024044830748409</v>
      </c>
      <c r="O16" s="165">
        <f t="shared" si="5"/>
        <v>438.44706513777862</v>
      </c>
      <c r="P16" s="86">
        <f t="shared" si="6"/>
        <v>99.999999999999972</v>
      </c>
      <c r="Q16" s="170">
        <f t="shared" si="7"/>
        <v>3.4520186320763618E-7</v>
      </c>
      <c r="R16" s="87">
        <f t="shared" si="8"/>
        <v>1.253895236518984E-7</v>
      </c>
      <c r="S16" s="87">
        <f t="shared" si="39"/>
        <v>6329209205.727766</v>
      </c>
      <c r="T16" s="87">
        <f t="shared" si="9"/>
        <v>2832529001.7660832</v>
      </c>
      <c r="U16" s="87">
        <f t="shared" si="10"/>
        <v>0.81006235530400317</v>
      </c>
      <c r="V16" s="87">
        <f t="shared" si="11"/>
        <v>-1.8100623553040032</v>
      </c>
      <c r="W16" s="87">
        <f t="shared" si="12"/>
        <v>1.7234234581834515E-4</v>
      </c>
      <c r="X16" s="87">
        <f t="shared" si="40"/>
        <v>3496680203.9616833</v>
      </c>
      <c r="Y16" s="86">
        <f>FieldFox!AG16</f>
        <v>0.1</v>
      </c>
      <c r="Z16" s="86">
        <f>FieldFox!AF16</f>
        <v>0.1</v>
      </c>
      <c r="AA16" s="86">
        <f>FieldFox!AH16</f>
        <v>0.1</v>
      </c>
      <c r="AB16" s="87">
        <f t="shared" si="41"/>
        <v>1.3389238540091567E-3</v>
      </c>
      <c r="AC16" s="87">
        <f t="shared" si="13"/>
        <v>1.3389238540091567E-3</v>
      </c>
      <c r="AD16" s="87">
        <f t="shared" si="14"/>
        <v>1.3389238540091567E-3</v>
      </c>
      <c r="AE16" s="87">
        <f>DUT!AF17</f>
        <v>0.2</v>
      </c>
      <c r="AF16" s="4">
        <f t="shared" si="42"/>
        <v>0.40853898265363492</v>
      </c>
      <c r="AG16" s="4">
        <f>'Meas. Noise Std'!AC17</f>
        <v>0.1</v>
      </c>
      <c r="AH16" s="4">
        <f>'Meas. Noise Std'!AD17</f>
        <v>1</v>
      </c>
      <c r="AI16" s="4">
        <f>DUT!AH17</f>
        <v>0</v>
      </c>
      <c r="AJ16" s="166">
        <f t="shared" si="15"/>
        <v>1.6341559306145403E-2</v>
      </c>
      <c r="AK16" s="166">
        <f t="shared" si="16"/>
        <v>0</v>
      </c>
      <c r="AL16" s="163">
        <f t="shared" si="43"/>
        <v>1.6341559306145403E-2</v>
      </c>
      <c r="AM16" s="4">
        <f t="shared" si="17"/>
        <v>0</v>
      </c>
      <c r="AN16" s="4">
        <f>DUT!AG17</f>
        <v>0.31622776601683794</v>
      </c>
      <c r="AO16" s="4">
        <f>IF(AND(UsePreamp,UseUserCal),Preamp!AF17,0)</f>
        <v>0.3981071705534972</v>
      </c>
      <c r="AP16" s="4">
        <f t="shared" si="44"/>
        <v>0.40853898265363492</v>
      </c>
      <c r="AQ16" s="88">
        <f t="shared" si="18"/>
        <v>1.802906971896471</v>
      </c>
      <c r="AR16" s="88">
        <f t="shared" si="19"/>
        <v>0</v>
      </c>
      <c r="AS16" s="88">
        <f t="shared" si="45"/>
        <v>1.802906971896471</v>
      </c>
      <c r="AT16" s="88">
        <f t="shared" si="20"/>
        <v>1.7928378644625271</v>
      </c>
      <c r="AU16" s="88">
        <f t="shared" si="21"/>
        <v>15.978683362892628</v>
      </c>
      <c r="AV16" s="88">
        <f t="shared" si="46"/>
        <v>16.078948647838647</v>
      </c>
      <c r="AW16" s="88">
        <f>X16*Calibration!AT16*UseUserCal</f>
        <v>0.22842821032366489</v>
      </c>
      <c r="AX16" s="88">
        <f t="shared" si="22"/>
        <v>1.6732445331915334E-3</v>
      </c>
      <c r="AY16" s="167">
        <f t="shared" si="47"/>
        <v>0.22843433852847156</v>
      </c>
      <c r="AZ16" s="88">
        <f>U16*B16*(10^('Meas. Noise Std'!AB17/(ENRconf*10))-1)</f>
        <v>11.322324245057665</v>
      </c>
      <c r="BA16" s="88">
        <f t="shared" si="23"/>
        <v>0</v>
      </c>
      <c r="BB16" s="88">
        <f t="shared" si="24"/>
        <v>0</v>
      </c>
      <c r="BC16" s="88">
        <f t="shared" si="48"/>
        <v>0</v>
      </c>
      <c r="BD16" s="88">
        <f t="shared" si="25"/>
        <v>19.749184077484941</v>
      </c>
      <c r="BE16" s="4">
        <f t="shared" si="26"/>
        <v>39.498368154969882</v>
      </c>
      <c r="BF16" s="4">
        <f t="shared" si="27"/>
        <v>0.22932364239623709</v>
      </c>
      <c r="BG16" s="88">
        <f t="shared" si="28"/>
        <v>477.94543329274848</v>
      </c>
      <c r="BH16" s="88">
        <f t="shared" si="29"/>
        <v>398.94869698280877</v>
      </c>
      <c r="BI16" s="86">
        <f t="shared" si="30"/>
        <v>5.085172153353601</v>
      </c>
      <c r="BJ16" s="86">
        <f>10*LOG10(($O16+NseMeas!T_0+BI16)/($O16+NseMeas!T_0))</f>
        <v>3.0212070833432261E-2</v>
      </c>
      <c r="BK16" s="86">
        <f t="shared" si="31"/>
        <v>31.957366725785256</v>
      </c>
      <c r="BL16" s="86">
        <f>10*LOG10(($O16+NseMeas!T_0+BK16)/($O16+NseMeas!T_0))</f>
        <v>0.18646641499448396</v>
      </c>
      <c r="BM16" s="86">
        <f t="shared" si="32"/>
        <v>22.64464849011533</v>
      </c>
      <c r="BN16" s="86">
        <f>10*LOG10(($O16+NseMeas!T_0+BM16)/($O16+NseMeas!T_0))</f>
        <v>0.13294972781115821</v>
      </c>
      <c r="BO16" s="86">
        <f t="shared" si="33"/>
        <v>0.45685642064732979</v>
      </c>
      <c r="BP16" s="86">
        <f>10*LOG10(($O16+NseMeas!T_0+BO16)/($O16+NseMeas!T_0))</f>
        <v>2.7228887319510914E-3</v>
      </c>
      <c r="BQ16" s="86">
        <f t="shared" si="34"/>
        <v>0</v>
      </c>
      <c r="BR16" s="86">
        <f>10*LOG10(($O16+NseMeas!T_0+BQ16)/($O16+NseMeas!T_0))</f>
        <v>0</v>
      </c>
      <c r="BT16" s="86">
        <f t="shared" si="35"/>
        <v>0</v>
      </c>
      <c r="BU16" s="86">
        <f>10*LOG10(($O16+NseMeas!T_0+BT16)/($O16+NseMeas!T_0))</f>
        <v>0</v>
      </c>
      <c r="BV16" s="86">
        <f t="shared" si="36"/>
        <v>31.957366725785256</v>
      </c>
      <c r="BW16" s="86">
        <f>10*LOG10(($O16+NseMeas!T_0+BV16)/($O16+NseMeas!T_0))</f>
        <v>0.18646641499448396</v>
      </c>
      <c r="BX16" s="175">
        <f>UseUserCal*X16*Calibration!AM16*nSD</f>
        <v>0</v>
      </c>
      <c r="BY16" s="86">
        <f>10*LOG10(($O16+NseMeas!T_0+BX16)/($O16+NseMeas!T_0))</f>
        <v>0</v>
      </c>
      <c r="BZ16" s="168">
        <f>UseUserCal*X16*Calibration!AP16*nSD</f>
        <v>0.4509699176714928</v>
      </c>
      <c r="CA16" s="86">
        <f>10*LOG10(($O16+NseMeas!T_0+BZ16)/($O16+NseMeas!T_0))</f>
        <v>2.6878157133072068E-3</v>
      </c>
      <c r="CB16" s="4">
        <f t="shared" si="37"/>
        <v>31.960548523343139</v>
      </c>
      <c r="CC16" s="86">
        <f>10*LOG10(($O16+NseMeas!T_0+CB16)/($O16+NseMeas!T_0))</f>
        <v>0.18648458735346762</v>
      </c>
    </row>
    <row r="17" spans="1:81">
      <c r="A17" s="4">
        <f t="shared" si="38"/>
        <v>6.4360000000000017</v>
      </c>
      <c r="B17" s="164">
        <f>T_0*(1+10^('Meas. Noise Std'!AA18/10))</f>
        <v>1207.0605214488303</v>
      </c>
      <c r="C17" s="164">
        <f t="shared" si="0"/>
        <v>298</v>
      </c>
      <c r="D17" s="86">
        <f t="shared" si="1"/>
        <v>298</v>
      </c>
      <c r="E17" s="164">
        <f>IF(UsePreamp,T_0*(10^(Preamp!AE18/10)-1),0)</f>
        <v>438.4470651377784</v>
      </c>
      <c r="F17" s="164">
        <f>T_0*(10^((FieldFox!B17-kT0dB)/10)-1)</f>
        <v>6953.2275822106776</v>
      </c>
      <c r="G17" s="86">
        <f>IF(UsePreamp,10^(Preamp!AD18/10),1)</f>
        <v>59.887474645579729</v>
      </c>
      <c r="H17" s="86">
        <f>T_0*(10^(DUT!AE18/10)-1)</f>
        <v>438.4470651377784</v>
      </c>
      <c r="I17" s="86">
        <f>10^(DUT!AD18/10)</f>
        <v>100</v>
      </c>
      <c r="J17" s="87">
        <f t="shared" si="2"/>
        <v>4.8734119926602947E-7</v>
      </c>
      <c r="K17" s="87">
        <f t="shared" si="3"/>
        <v>2.1901388554765083E-7</v>
      </c>
      <c r="L17" s="87">
        <f t="shared" si="4"/>
        <v>3.5739429936000216E-10</v>
      </c>
      <c r="M17" s="87">
        <f>IF(UseUserCal,Calibration!M17,0)</f>
        <v>1.2941638144028599E-9</v>
      </c>
      <c r="N17" s="87">
        <f>IF(UseUserCal,Calibration!L17,1)</f>
        <v>59.887474645579729</v>
      </c>
      <c r="O17" s="165">
        <f t="shared" si="5"/>
        <v>438.44706513777879</v>
      </c>
      <c r="P17" s="86">
        <f t="shared" si="6"/>
        <v>99.999999999999972</v>
      </c>
      <c r="Q17" s="170">
        <f t="shared" si="7"/>
        <v>3.5628794736314059E-7</v>
      </c>
      <c r="R17" s="87">
        <f t="shared" si="8"/>
        <v>1.2941638144028596E-7</v>
      </c>
      <c r="S17" s="87">
        <f t="shared" si="39"/>
        <v>6132278536.2280293</v>
      </c>
      <c r="T17" s="87">
        <f t="shared" si="9"/>
        <v>2744399349.2328162</v>
      </c>
      <c r="U17" s="87">
        <f t="shared" si="10"/>
        <v>0.81006411319728466</v>
      </c>
      <c r="V17" s="87">
        <f t="shared" si="11"/>
        <v>-1.810064113197285</v>
      </c>
      <c r="W17" s="87">
        <f t="shared" si="12"/>
        <v>1.6697982439869166E-4</v>
      </c>
      <c r="X17" s="87">
        <f t="shared" si="40"/>
        <v>3387879186.995214</v>
      </c>
      <c r="Y17" s="86">
        <f>FieldFox!AG17</f>
        <v>0.1</v>
      </c>
      <c r="Z17" s="86">
        <f>FieldFox!AF17</f>
        <v>0.1</v>
      </c>
      <c r="AA17" s="86">
        <f>FieldFox!AH17</f>
        <v>0.1</v>
      </c>
      <c r="AB17" s="87">
        <f t="shared" si="41"/>
        <v>1.3389238540091567E-3</v>
      </c>
      <c r="AC17" s="87">
        <f t="shared" si="13"/>
        <v>1.3389238540091567E-3</v>
      </c>
      <c r="AD17" s="87">
        <f t="shared" si="14"/>
        <v>1.3389238540091567E-3</v>
      </c>
      <c r="AE17" s="87">
        <f>DUT!AF18</f>
        <v>0.2</v>
      </c>
      <c r="AF17" s="4">
        <f t="shared" si="42"/>
        <v>0.40853898265363492</v>
      </c>
      <c r="AG17" s="4">
        <f>'Meas. Noise Std'!AC18</f>
        <v>0.1</v>
      </c>
      <c r="AH17" s="4">
        <f>'Meas. Noise Std'!AD18</f>
        <v>1</v>
      </c>
      <c r="AI17" s="4">
        <f>DUT!AH18</f>
        <v>0</v>
      </c>
      <c r="AJ17" s="166">
        <f t="shared" si="15"/>
        <v>1.6341559306145403E-2</v>
      </c>
      <c r="AK17" s="166">
        <f t="shared" si="16"/>
        <v>0</v>
      </c>
      <c r="AL17" s="163">
        <f t="shared" si="43"/>
        <v>1.6341559306145403E-2</v>
      </c>
      <c r="AM17" s="4">
        <f t="shared" si="17"/>
        <v>0</v>
      </c>
      <c r="AN17" s="4">
        <f>DUT!AG18</f>
        <v>0.31622776601683794</v>
      </c>
      <c r="AO17" s="4">
        <f>IF(AND(UsePreamp,UseUserCal),Preamp!AF18,0)</f>
        <v>0.3981071705534972</v>
      </c>
      <c r="AP17" s="4">
        <f t="shared" si="44"/>
        <v>0.40853898265363492</v>
      </c>
      <c r="AQ17" s="88">
        <f t="shared" si="18"/>
        <v>1.7982472379644323</v>
      </c>
      <c r="AR17" s="88">
        <f t="shared" si="19"/>
        <v>0</v>
      </c>
      <c r="AS17" s="88">
        <f t="shared" si="45"/>
        <v>1.7982472379644323</v>
      </c>
      <c r="AT17" s="88">
        <f t="shared" si="20"/>
        <v>1.7907555849598449</v>
      </c>
      <c r="AU17" s="88">
        <f t="shared" si="21"/>
        <v>15.978718037779011</v>
      </c>
      <c r="AV17" s="88">
        <f t="shared" si="46"/>
        <v>16.078751061444702</v>
      </c>
      <c r="AW17" s="88">
        <f>X17*Calibration!AT17*UseUserCal</f>
        <v>0.22842515445606001</v>
      </c>
      <c r="AX17" s="88">
        <f t="shared" si="22"/>
        <v>1.6211806622551627E-3</v>
      </c>
      <c r="AY17" s="167">
        <f t="shared" si="47"/>
        <v>0.22843090731119234</v>
      </c>
      <c r="AZ17" s="88">
        <f>U17*B17*(10^('Meas. Noise Std'!AB18/(ENRconf*10))-1)</f>
        <v>11.322348815311535</v>
      </c>
      <c r="BA17" s="88">
        <f t="shared" si="23"/>
        <v>0</v>
      </c>
      <c r="BB17" s="88">
        <f t="shared" si="24"/>
        <v>0</v>
      </c>
      <c r="BC17" s="88">
        <f t="shared" si="48"/>
        <v>0</v>
      </c>
      <c r="BD17" s="88">
        <f t="shared" si="25"/>
        <v>19.748612412009038</v>
      </c>
      <c r="BE17" s="4">
        <f t="shared" si="26"/>
        <v>39.497224824018076</v>
      </c>
      <c r="BF17" s="4">
        <f t="shared" si="27"/>
        <v>0.2293171765371875</v>
      </c>
      <c r="BG17" s="88">
        <f t="shared" si="28"/>
        <v>477.94428996179687</v>
      </c>
      <c r="BH17" s="88">
        <f t="shared" si="29"/>
        <v>398.94984031376072</v>
      </c>
      <c r="BI17" s="86">
        <f t="shared" si="30"/>
        <v>5.0756285609324587</v>
      </c>
      <c r="BJ17" s="86">
        <f>10*LOG10(($O17+NseMeas!T_0+BI17)/($O17+NseMeas!T_0))</f>
        <v>3.0155566752521186E-2</v>
      </c>
      <c r="BK17" s="86">
        <f t="shared" si="31"/>
        <v>31.957436075558022</v>
      </c>
      <c r="BL17" s="86">
        <f>10*LOG10(($O17+NseMeas!T_0+BK17)/($O17+NseMeas!T_0))</f>
        <v>0.1864668110761078</v>
      </c>
      <c r="BM17" s="86">
        <f t="shared" si="32"/>
        <v>22.644697630623071</v>
      </c>
      <c r="BN17" s="86">
        <f>10*LOG10(($O17+NseMeas!T_0+BM17)/($O17+NseMeas!T_0))</f>
        <v>0.13295001195023623</v>
      </c>
      <c r="BO17" s="86">
        <f t="shared" si="33"/>
        <v>0.45685030891212003</v>
      </c>
      <c r="BP17" s="86">
        <f>10*LOG10(($O17+NseMeas!T_0+BO17)/($O17+NseMeas!T_0))</f>
        <v>2.7228523170980995E-3</v>
      </c>
      <c r="BQ17" s="86">
        <f t="shared" si="34"/>
        <v>0</v>
      </c>
      <c r="BR17" s="86">
        <f>10*LOG10(($O17+NseMeas!T_0+BQ17)/($O17+NseMeas!T_0))</f>
        <v>0</v>
      </c>
      <c r="BT17" s="86">
        <f t="shared" si="35"/>
        <v>0</v>
      </c>
      <c r="BU17" s="86">
        <f>10*LOG10(($O17+NseMeas!T_0+BT17)/($O17+NseMeas!T_0))</f>
        <v>0</v>
      </c>
      <c r="BV17" s="86">
        <f t="shared" si="36"/>
        <v>31.957436075558022</v>
      </c>
      <c r="BW17" s="86">
        <f>10*LOG10(($O17+NseMeas!T_0+BV17)/($O17+NseMeas!T_0))</f>
        <v>0.1864668110761078</v>
      </c>
      <c r="BX17" s="175">
        <f>UseUserCal*X17*Calibration!AM17*nSD</f>
        <v>0</v>
      </c>
      <c r="BY17" s="86">
        <f>10*LOG10(($O17+NseMeas!T_0+BX17)/($O17+NseMeas!T_0))</f>
        <v>0</v>
      </c>
      <c r="BZ17" s="168">
        <f>UseUserCal*X17*Calibration!AP17*nSD</f>
        <v>0.4509699176714928</v>
      </c>
      <c r="CA17" s="86">
        <f>10*LOG10(($O17+NseMeas!T_0+BZ17)/($O17+NseMeas!T_0))</f>
        <v>2.6878157133072068E-3</v>
      </c>
      <c r="CB17" s="4">
        <f t="shared" si="37"/>
        <v>31.960617866211877</v>
      </c>
      <c r="CC17" s="86">
        <f>10*LOG10(($O17+NseMeas!T_0+CB17)/($O17+NseMeas!T_0))</f>
        <v>0.18648498339400371</v>
      </c>
    </row>
    <row r="18" spans="1:81">
      <c r="A18" s="4">
        <f t="shared" si="38"/>
        <v>6.9640000000000022</v>
      </c>
      <c r="B18" s="164">
        <f>T_0*(1+10^('Meas. Noise Std'!AA19/10))</f>
        <v>1207.0605214488303</v>
      </c>
      <c r="C18" s="164">
        <f t="shared" si="0"/>
        <v>298</v>
      </c>
      <c r="D18" s="86">
        <f t="shared" si="1"/>
        <v>298</v>
      </c>
      <c r="E18" s="164">
        <f>IF(UsePreamp,T_0*(10^(Preamp!AE19/10)-1),0)</f>
        <v>438.4470651377784</v>
      </c>
      <c r="F18" s="164">
        <f>T_0*(10^((FieldFox!B18-kT0dB)/10)-1)</f>
        <v>6953.2275822106776</v>
      </c>
      <c r="G18" s="86">
        <f>IF(UsePreamp,10^(Preamp!AD19/10),1)</f>
        <v>61.810748111175741</v>
      </c>
      <c r="H18" s="86">
        <f>T_0*(10^(DUT!AE19/10)-1)</f>
        <v>438.4470651377784</v>
      </c>
      <c r="I18" s="86">
        <f>10^(DUT!AD19/10)</f>
        <v>100</v>
      </c>
      <c r="J18" s="87">
        <f t="shared" si="2"/>
        <v>5.0298105190934447E-7</v>
      </c>
      <c r="K18" s="87">
        <f t="shared" si="3"/>
        <v>2.2603646378386556E-7</v>
      </c>
      <c r="L18" s="87">
        <f t="shared" si="4"/>
        <v>3.5739429936000216E-10</v>
      </c>
      <c r="M18" s="87">
        <f>IF(UseUserCal,Calibration!M18,0)</f>
        <v>1.3357256090703731E-9</v>
      </c>
      <c r="N18" s="87">
        <f>IF(UseUserCal,Calibration!L18,1)</f>
        <v>61.810748111175741</v>
      </c>
      <c r="O18" s="165">
        <f t="shared" si="5"/>
        <v>438.44706513777817</v>
      </c>
      <c r="P18" s="86">
        <f t="shared" si="6"/>
        <v>100.00000000000003</v>
      </c>
      <c r="Q18" s="170">
        <f t="shared" si="7"/>
        <v>3.6773005874503665E-7</v>
      </c>
      <c r="R18" s="87">
        <f t="shared" si="8"/>
        <v>1.3357256090703736E-7</v>
      </c>
      <c r="S18" s="87">
        <f t="shared" si="39"/>
        <v>5941475101.7312384</v>
      </c>
      <c r="T18" s="87">
        <f t="shared" si="9"/>
        <v>2659011531.6651921</v>
      </c>
      <c r="U18" s="87">
        <f t="shared" si="10"/>
        <v>0.81006581639280484</v>
      </c>
      <c r="V18" s="87">
        <f t="shared" si="11"/>
        <v>-1.8100658163928047</v>
      </c>
      <c r="W18" s="87">
        <f t="shared" si="12"/>
        <v>1.6178416061254463E-4</v>
      </c>
      <c r="X18" s="87">
        <f t="shared" si="40"/>
        <v>3282463570.0660458</v>
      </c>
      <c r="Y18" s="86">
        <f>FieldFox!AG18</f>
        <v>0.1</v>
      </c>
      <c r="Z18" s="86">
        <f>FieldFox!AF18</f>
        <v>0.1</v>
      </c>
      <c r="AA18" s="86">
        <f>FieldFox!AH18</f>
        <v>0.1</v>
      </c>
      <c r="AB18" s="87">
        <f t="shared" si="41"/>
        <v>1.3389238540091567E-3</v>
      </c>
      <c r="AC18" s="87">
        <f t="shared" si="13"/>
        <v>1.3389238540091567E-3</v>
      </c>
      <c r="AD18" s="87">
        <f t="shared" si="14"/>
        <v>1.3389238540091567E-3</v>
      </c>
      <c r="AE18" s="87">
        <f>DUT!AF19</f>
        <v>0.2</v>
      </c>
      <c r="AF18" s="4">
        <f t="shared" si="42"/>
        <v>0.40853898265363492</v>
      </c>
      <c r="AG18" s="4">
        <f>'Meas. Noise Std'!AC19</f>
        <v>0.1</v>
      </c>
      <c r="AH18" s="4">
        <f>'Meas. Noise Std'!AD19</f>
        <v>1</v>
      </c>
      <c r="AI18" s="4">
        <f>DUT!AH19</f>
        <v>0</v>
      </c>
      <c r="AJ18" s="166">
        <f t="shared" si="15"/>
        <v>1.6341559306145403E-2</v>
      </c>
      <c r="AK18" s="166">
        <f t="shared" si="16"/>
        <v>0</v>
      </c>
      <c r="AL18" s="163">
        <f t="shared" si="43"/>
        <v>1.6341559306145403E-2</v>
      </c>
      <c r="AM18" s="4">
        <f t="shared" si="17"/>
        <v>0</v>
      </c>
      <c r="AN18" s="4">
        <f>DUT!AG19</f>
        <v>0.31622776601683794</v>
      </c>
      <c r="AO18" s="4">
        <f>IF(AND(UsePreamp,UseUserCal),Preamp!AF19,0)</f>
        <v>0.3981071705534972</v>
      </c>
      <c r="AP18" s="4">
        <f t="shared" si="44"/>
        <v>0.40853898265363492</v>
      </c>
      <c r="AQ18" s="88">
        <f t="shared" si="18"/>
        <v>1.7981613756904373</v>
      </c>
      <c r="AR18" s="88">
        <f t="shared" si="19"/>
        <v>0</v>
      </c>
      <c r="AS18" s="88">
        <f t="shared" si="45"/>
        <v>1.7981613756904373</v>
      </c>
      <c r="AT18" s="88">
        <f t="shared" si="20"/>
        <v>1.790720166562455</v>
      </c>
      <c r="AU18" s="88">
        <f t="shared" si="21"/>
        <v>15.978751633738304</v>
      </c>
      <c r="AV18" s="88">
        <f t="shared" si="46"/>
        <v>16.078780503745548</v>
      </c>
      <c r="AW18" s="88">
        <f>X18*Calibration!AT18*UseUserCal</f>
        <v>0.2284250780613884</v>
      </c>
      <c r="AX18" s="88">
        <f t="shared" si="22"/>
        <v>1.5707367856490318E-3</v>
      </c>
      <c r="AY18" s="167">
        <f t="shared" si="47"/>
        <v>0.22843047848612755</v>
      </c>
      <c r="AZ18" s="88">
        <f>U18*B18*(10^('Meas. Noise Std'!AB19/(ENRconf*10))-1)</f>
        <v>11.322372621049212</v>
      </c>
      <c r="BA18" s="88">
        <f t="shared" si="23"/>
        <v>0</v>
      </c>
      <c r="BB18" s="88">
        <f t="shared" si="24"/>
        <v>0</v>
      </c>
      <c r="BC18" s="88">
        <f t="shared" si="48"/>
        <v>0</v>
      </c>
      <c r="BD18" s="88">
        <f t="shared" si="25"/>
        <v>19.748642208365592</v>
      </c>
      <c r="BE18" s="4">
        <f t="shared" si="26"/>
        <v>39.497284416731183</v>
      </c>
      <c r="BF18" s="4">
        <f t="shared" si="27"/>
        <v>0.2293175135510277</v>
      </c>
      <c r="BG18" s="88">
        <f t="shared" si="28"/>
        <v>477.94434955450936</v>
      </c>
      <c r="BH18" s="88">
        <f t="shared" si="29"/>
        <v>398.94978072104698</v>
      </c>
      <c r="BI18" s="86">
        <f t="shared" si="30"/>
        <v>5.0754568327087339</v>
      </c>
      <c r="BJ18" s="86">
        <f>10*LOG10(($O18+NseMeas!T_0+BI18)/($O18+NseMeas!T_0))</f>
        <v>3.0154550006491178E-2</v>
      </c>
      <c r="BK18" s="86">
        <f t="shared" si="31"/>
        <v>31.957503267476607</v>
      </c>
      <c r="BL18" s="86">
        <f>10*LOG10(($O18+NseMeas!T_0+BK18)/($O18+NseMeas!T_0))</f>
        <v>0.18646719483341301</v>
      </c>
      <c r="BM18" s="86">
        <f t="shared" si="32"/>
        <v>22.644745242098423</v>
      </c>
      <c r="BN18" s="86">
        <f>10*LOG10(($O18+NseMeas!T_0+BM18)/($O18+NseMeas!T_0))</f>
        <v>0.13295028724816141</v>
      </c>
      <c r="BO18" s="86">
        <f t="shared" si="33"/>
        <v>0.4568501561227768</v>
      </c>
      <c r="BP18" s="86">
        <f>10*LOG10(($O18+NseMeas!T_0+BO18)/($O18+NseMeas!T_0))</f>
        <v>2.7228514067508397E-3</v>
      </c>
      <c r="BQ18" s="86">
        <f t="shared" si="34"/>
        <v>0</v>
      </c>
      <c r="BR18" s="86">
        <f>10*LOG10(($O18+NseMeas!T_0+BQ18)/($O18+NseMeas!T_0))</f>
        <v>0</v>
      </c>
      <c r="BT18" s="86">
        <f t="shared" si="35"/>
        <v>0</v>
      </c>
      <c r="BU18" s="86">
        <f>10*LOG10(($O18+NseMeas!T_0+BT18)/($O18+NseMeas!T_0))</f>
        <v>0</v>
      </c>
      <c r="BV18" s="86">
        <f t="shared" si="36"/>
        <v>31.957503267476607</v>
      </c>
      <c r="BW18" s="86">
        <f>10*LOG10(($O18+NseMeas!T_0+BV18)/($O18+NseMeas!T_0))</f>
        <v>0.18646719483341301</v>
      </c>
      <c r="BX18" s="175">
        <f>UseUserCal*X18*Calibration!AM18*nSD</f>
        <v>0</v>
      </c>
      <c r="BY18" s="86">
        <f>10*LOG10(($O18+NseMeas!T_0+BX18)/($O18+NseMeas!T_0))</f>
        <v>0</v>
      </c>
      <c r="BZ18" s="168">
        <f>UseUserCal*X18*Calibration!AP18*nSD</f>
        <v>0.45096991767149247</v>
      </c>
      <c r="CA18" s="86">
        <f>10*LOG10(($O18+NseMeas!T_0+BZ18)/($O18+NseMeas!T_0))</f>
        <v>2.6878157133072068E-3</v>
      </c>
      <c r="CB18" s="4">
        <f t="shared" si="37"/>
        <v>31.960685051441288</v>
      </c>
      <c r="CC18" s="86">
        <f>10*LOG10(($O18+NseMeas!T_0+CB18)/($O18+NseMeas!T_0))</f>
        <v>0.18648536711149868</v>
      </c>
    </row>
    <row r="19" spans="1:81">
      <c r="A19" s="4">
        <f t="shared" si="38"/>
        <v>7.4920000000000027</v>
      </c>
      <c r="B19" s="164">
        <f>T_0*(1+10^('Meas. Noise Std'!AA20/10))</f>
        <v>1207.0605214488303</v>
      </c>
      <c r="C19" s="164">
        <f t="shared" si="0"/>
        <v>298</v>
      </c>
      <c r="D19" s="86">
        <f t="shared" si="1"/>
        <v>298</v>
      </c>
      <c r="E19" s="164">
        <f>IF(UsePreamp,T_0*(10^(Preamp!AE20/10)-1),0)</f>
        <v>438.4470651377784</v>
      </c>
      <c r="F19" s="164">
        <f>T_0*(10^((FieldFox!B19-kT0dB)/10)-1)</f>
        <v>6953.2275822106776</v>
      </c>
      <c r="G19" s="86">
        <f>IF(UsePreamp,10^(Preamp!AD20/10),1)</f>
        <v>63.795787093607395</v>
      </c>
      <c r="H19" s="86">
        <f>T_0*(10^(DUT!AE20/10)-1)</f>
        <v>438.4470651377784</v>
      </c>
      <c r="I19" s="86">
        <f>10^(DUT!AD20/10)</f>
        <v>100</v>
      </c>
      <c r="J19" s="87">
        <f t="shared" si="2"/>
        <v>5.1912317508206027E-7</v>
      </c>
      <c r="K19" s="87">
        <f t="shared" si="3"/>
        <v>2.3328457062120628E-7</v>
      </c>
      <c r="L19" s="87">
        <f t="shared" si="4"/>
        <v>3.5739429936000216E-10</v>
      </c>
      <c r="M19" s="87">
        <f>IF(UseUserCal,Calibration!M19,0)</f>
        <v>1.378622151902502E-9</v>
      </c>
      <c r="N19" s="87">
        <f>IF(UseUserCal,Calibration!L19,1)</f>
        <v>63.795787093607402</v>
      </c>
      <c r="O19" s="165">
        <f t="shared" si="5"/>
        <v>438.44706513777817</v>
      </c>
      <c r="P19" s="86">
        <f t="shared" si="6"/>
        <v>100.00000000000001</v>
      </c>
      <c r="Q19" s="170">
        <f t="shared" si="7"/>
        <v>3.7953963109170752E-7</v>
      </c>
      <c r="R19" s="87">
        <f t="shared" si="8"/>
        <v>1.378622151902502E-7</v>
      </c>
      <c r="S19" s="87">
        <f t="shared" si="39"/>
        <v>5756608272.496315</v>
      </c>
      <c r="T19" s="87">
        <f t="shared" si="9"/>
        <v>2576280257.7990303</v>
      </c>
      <c r="U19" s="87">
        <f t="shared" si="10"/>
        <v>0.81006746659251438</v>
      </c>
      <c r="V19" s="87">
        <f t="shared" si="11"/>
        <v>-1.8100674665925143</v>
      </c>
      <c r="W19" s="87">
        <f t="shared" si="12"/>
        <v>1.5675016259815127E-4</v>
      </c>
      <c r="X19" s="87">
        <f t="shared" si="40"/>
        <v>3180328014.6972852</v>
      </c>
      <c r="Y19" s="86">
        <f>FieldFox!AG19</f>
        <v>0.1</v>
      </c>
      <c r="Z19" s="86">
        <f>FieldFox!AF19</f>
        <v>0.1</v>
      </c>
      <c r="AA19" s="86">
        <f>FieldFox!AH19</f>
        <v>0.1</v>
      </c>
      <c r="AB19" s="87">
        <f t="shared" si="41"/>
        <v>1.3389238540091567E-3</v>
      </c>
      <c r="AC19" s="87">
        <f t="shared" si="13"/>
        <v>1.3389238540091567E-3</v>
      </c>
      <c r="AD19" s="87">
        <f t="shared" si="14"/>
        <v>1.3389238540091567E-3</v>
      </c>
      <c r="AE19" s="87">
        <f>DUT!AF20</f>
        <v>0.2</v>
      </c>
      <c r="AF19" s="4">
        <f t="shared" si="42"/>
        <v>0.40853898265363492</v>
      </c>
      <c r="AG19" s="4">
        <f>'Meas. Noise Std'!AC20</f>
        <v>0.1</v>
      </c>
      <c r="AH19" s="4">
        <f>'Meas. Noise Std'!AD20</f>
        <v>1</v>
      </c>
      <c r="AI19" s="4">
        <f>DUT!AH20</f>
        <v>0</v>
      </c>
      <c r="AJ19" s="166">
        <f t="shared" si="15"/>
        <v>1.6341559306145403E-2</v>
      </c>
      <c r="AK19" s="166">
        <f t="shared" si="16"/>
        <v>0</v>
      </c>
      <c r="AL19" s="163">
        <f t="shared" si="43"/>
        <v>1.6341559306145403E-2</v>
      </c>
      <c r="AM19" s="4">
        <f t="shared" si="17"/>
        <v>0</v>
      </c>
      <c r="AN19" s="4">
        <f>DUT!AG20</f>
        <v>0.31622776601683794</v>
      </c>
      <c r="AO19" s="4">
        <f>IF(AND(UsePreamp,UseUserCal),Preamp!AF20,0)</f>
        <v>0.3981071705534972</v>
      </c>
      <c r="AP19" s="4">
        <f t="shared" si="44"/>
        <v>0.40853898265363492</v>
      </c>
      <c r="AQ19" s="88">
        <f t="shared" si="18"/>
        <v>1.7980781849084453</v>
      </c>
      <c r="AR19" s="88">
        <f t="shared" si="19"/>
        <v>0</v>
      </c>
      <c r="AS19" s="88">
        <f t="shared" si="45"/>
        <v>1.7980781849084453</v>
      </c>
      <c r="AT19" s="88">
        <f t="shared" si="20"/>
        <v>1.7906858500697027</v>
      </c>
      <c r="AU19" s="88">
        <f t="shared" si="21"/>
        <v>15.978784184341938</v>
      </c>
      <c r="AV19" s="88">
        <f t="shared" si="46"/>
        <v>16.078809030006418</v>
      </c>
      <c r="AW19" s="88">
        <f>X19*Calibration!AT19*UseUserCal</f>
        <v>0.22842500446273462</v>
      </c>
      <c r="AX19" s="88">
        <f t="shared" si="22"/>
        <v>1.5218624964098743E-3</v>
      </c>
      <c r="AY19" s="167">
        <f t="shared" si="47"/>
        <v>0.22843007404730734</v>
      </c>
      <c r="AZ19" s="88">
        <f>U19*B19*(10^('Meas. Noise Std'!AB20/(ENRconf*10))-1)</f>
        <v>11.322395686059032</v>
      </c>
      <c r="BA19" s="88">
        <f t="shared" si="23"/>
        <v>0</v>
      </c>
      <c r="BB19" s="88">
        <f t="shared" si="24"/>
        <v>0</v>
      </c>
      <c r="BC19" s="88">
        <f t="shared" si="48"/>
        <v>0</v>
      </c>
      <c r="BD19" s="88">
        <f t="shared" si="25"/>
        <v>19.748671078147943</v>
      </c>
      <c r="BE19" s="4">
        <f t="shared" si="26"/>
        <v>39.497342156295886</v>
      </c>
      <c r="BF19" s="4">
        <f t="shared" si="27"/>
        <v>0.22931784008475956</v>
      </c>
      <c r="BG19" s="88">
        <f t="shared" si="28"/>
        <v>477.94440729407404</v>
      </c>
      <c r="BH19" s="88">
        <f t="shared" si="29"/>
        <v>398.9497229814823</v>
      </c>
      <c r="BI19" s="86">
        <f t="shared" si="30"/>
        <v>5.0752904503088141</v>
      </c>
      <c r="BJ19" s="86">
        <f>10*LOG10(($O19+NseMeas!T_0+BI19)/($O19+NseMeas!T_0))</f>
        <v>3.0153564911088351E-2</v>
      </c>
      <c r="BK19" s="86">
        <f t="shared" si="31"/>
        <v>31.957568368683877</v>
      </c>
      <c r="BL19" s="86">
        <f>10*LOG10(($O19+NseMeas!T_0+BK19)/($O19+NseMeas!T_0))</f>
        <v>0.18646756664987768</v>
      </c>
      <c r="BM19" s="86">
        <f t="shared" si="32"/>
        <v>22.644791372118064</v>
      </c>
      <c r="BN19" s="86">
        <f>10*LOG10(($O19+NseMeas!T_0+BM19)/($O19+NseMeas!T_0))</f>
        <v>0.13295055398003186</v>
      </c>
      <c r="BO19" s="86">
        <f t="shared" si="33"/>
        <v>0.45685000892546923</v>
      </c>
      <c r="BP19" s="86">
        <f>10*LOG10(($O19+NseMeas!T_0+BO19)/($O19+NseMeas!T_0))</f>
        <v>2.7228505297223777E-3</v>
      </c>
      <c r="BQ19" s="86">
        <f t="shared" si="34"/>
        <v>0</v>
      </c>
      <c r="BR19" s="86">
        <f>10*LOG10(($O19+NseMeas!T_0+BQ19)/($O19+NseMeas!T_0))</f>
        <v>0</v>
      </c>
      <c r="BT19" s="86">
        <f t="shared" si="35"/>
        <v>0</v>
      </c>
      <c r="BU19" s="86">
        <f>10*LOG10(($O19+NseMeas!T_0+BT19)/($O19+NseMeas!T_0))</f>
        <v>0</v>
      </c>
      <c r="BV19" s="86">
        <f t="shared" si="36"/>
        <v>31.957568368683877</v>
      </c>
      <c r="BW19" s="86">
        <f>10*LOG10(($O19+NseMeas!T_0+BV19)/($O19+NseMeas!T_0))</f>
        <v>0.18646756664987768</v>
      </c>
      <c r="BX19" s="175">
        <f>UseUserCal*X19*Calibration!AM19*nSD</f>
        <v>0</v>
      </c>
      <c r="BY19" s="86">
        <f>10*LOG10(($O19+NseMeas!T_0+BX19)/($O19+NseMeas!T_0))</f>
        <v>0</v>
      </c>
      <c r="BZ19" s="168">
        <f>UseUserCal*X19*Calibration!AP19*nSD</f>
        <v>0.45096991767149258</v>
      </c>
      <c r="CA19" s="86">
        <f>10*LOG10(($O19+NseMeas!T_0+BZ19)/($O19+NseMeas!T_0))</f>
        <v>2.6878157133072068E-3</v>
      </c>
      <c r="CB19" s="4">
        <f t="shared" si="37"/>
        <v>31.960750146167545</v>
      </c>
      <c r="CC19" s="86">
        <f>10*LOG10(($O19+NseMeas!T_0+CB19)/($O19+NseMeas!T_0))</f>
        <v>0.1864857388893929</v>
      </c>
    </row>
    <row r="20" spans="1:81">
      <c r="A20" s="4">
        <f t="shared" si="38"/>
        <v>8.0200000000000031</v>
      </c>
      <c r="B20" s="164">
        <f>T_0*(1+10^('Meas. Noise Std'!AA21/10))</f>
        <v>1207.0605214488303</v>
      </c>
      <c r="C20" s="164">
        <f t="shared" si="0"/>
        <v>298</v>
      </c>
      <c r="D20" s="86">
        <f t="shared" si="1"/>
        <v>298</v>
      </c>
      <c r="E20" s="164">
        <f>IF(UsePreamp,T_0*(10^(Preamp!AE21/10)-1),0)</f>
        <v>438.4470651377784</v>
      </c>
      <c r="F20" s="164">
        <f>T_0*(10^((FieldFox!B20-kT0dB)/10)-1)</f>
        <v>5463.5001790836332</v>
      </c>
      <c r="G20" s="86">
        <f>IF(UsePreamp,10^(Preamp!AD21/10),1)</f>
        <v>65.844575179264368</v>
      </c>
      <c r="H20" s="86">
        <f>T_0*(10^(DUT!AE21/10)-1)</f>
        <v>438.4470651377784</v>
      </c>
      <c r="I20" s="86">
        <f>10^(DUT!AD21/10)</f>
        <v>100</v>
      </c>
      <c r="J20" s="87">
        <f t="shared" si="2"/>
        <v>5.3571027427481848E-7</v>
      </c>
      <c r="K20" s="87">
        <f t="shared" si="3"/>
        <v>2.4069202404235694E-7</v>
      </c>
      <c r="L20" s="87">
        <f t="shared" si="4"/>
        <v>2.8396947915657021E-10</v>
      </c>
      <c r="M20" s="87">
        <f>IF(UseUserCal,Calibration!M20,0)</f>
        <v>1.4228963080516574E-9</v>
      </c>
      <c r="N20" s="87">
        <f>IF(UseUserCal,Calibration!L20,1)</f>
        <v>65.844575179264353</v>
      </c>
      <c r="O20" s="165">
        <f t="shared" si="5"/>
        <v>438.44706513777879</v>
      </c>
      <c r="P20" s="86">
        <f t="shared" si="6"/>
        <v>100.00000000000001</v>
      </c>
      <c r="Q20" s="170">
        <f t="shared" si="7"/>
        <v>3.9172846533360453E-7</v>
      </c>
      <c r="R20" s="87">
        <f t="shared" si="8"/>
        <v>1.4228963080516572E-7</v>
      </c>
      <c r="S20" s="87">
        <f t="shared" si="39"/>
        <v>5577493348.9560194</v>
      </c>
      <c r="T20" s="87">
        <f t="shared" si="9"/>
        <v>2496122888.8826842</v>
      </c>
      <c r="U20" s="87">
        <f t="shared" si="10"/>
        <v>0.81006906544540491</v>
      </c>
      <c r="V20" s="87">
        <f t="shared" si="11"/>
        <v>-1.810069065445405</v>
      </c>
      <c r="W20" s="87">
        <f t="shared" si="12"/>
        <v>1.5187280004122771E-4</v>
      </c>
      <c r="X20" s="87">
        <f t="shared" si="40"/>
        <v>3081370460.0733352</v>
      </c>
      <c r="Y20" s="86">
        <f>FieldFox!AG20</f>
        <v>0.1</v>
      </c>
      <c r="Z20" s="86">
        <f>FieldFox!AF20</f>
        <v>0.1</v>
      </c>
      <c r="AA20" s="86">
        <f>FieldFox!AH20</f>
        <v>0.1</v>
      </c>
      <c r="AB20" s="87">
        <f t="shared" si="41"/>
        <v>1.3389238540091567E-3</v>
      </c>
      <c r="AC20" s="87">
        <f t="shared" si="13"/>
        <v>1.3389238540091567E-3</v>
      </c>
      <c r="AD20" s="87">
        <f t="shared" si="14"/>
        <v>1.3389238540091567E-3</v>
      </c>
      <c r="AE20" s="87">
        <f>DUT!AF21</f>
        <v>0.2</v>
      </c>
      <c r="AF20" s="4">
        <f t="shared" si="42"/>
        <v>0.40853898265363492</v>
      </c>
      <c r="AG20" s="4">
        <f>'Meas. Noise Std'!AC21</f>
        <v>0.1</v>
      </c>
      <c r="AH20" s="4">
        <f>'Meas. Noise Std'!AD21</f>
        <v>1</v>
      </c>
      <c r="AI20" s="4">
        <f>DUT!AH21</f>
        <v>0</v>
      </c>
      <c r="AJ20" s="166">
        <f t="shared" si="15"/>
        <v>1.6341559306145403E-2</v>
      </c>
      <c r="AK20" s="166">
        <f t="shared" si="16"/>
        <v>0</v>
      </c>
      <c r="AL20" s="163">
        <f t="shared" si="43"/>
        <v>1.6341559306145403E-2</v>
      </c>
      <c r="AM20" s="4">
        <f t="shared" si="17"/>
        <v>0</v>
      </c>
      <c r="AN20" s="4">
        <f>DUT!AG21</f>
        <v>0.31622776601683794</v>
      </c>
      <c r="AO20" s="4">
        <f>IF(AND(UsePreamp,UseUserCal),Preamp!AF21,0)</f>
        <v>0.3981071705534972</v>
      </c>
      <c r="AP20" s="4">
        <f t="shared" si="44"/>
        <v>0.40853898265363492</v>
      </c>
      <c r="AQ20" s="88">
        <f t="shared" si="18"/>
        <v>1.7974492577753822</v>
      </c>
      <c r="AR20" s="88">
        <f t="shared" si="19"/>
        <v>0</v>
      </c>
      <c r="AS20" s="88">
        <f t="shared" si="45"/>
        <v>1.7974492577753822</v>
      </c>
      <c r="AT20" s="88">
        <f t="shared" si="20"/>
        <v>1.7904072067564993</v>
      </c>
      <c r="AU20" s="88">
        <f t="shared" si="21"/>
        <v>15.97881572211668</v>
      </c>
      <c r="AV20" s="88">
        <f t="shared" si="46"/>
        <v>16.07880934171958</v>
      </c>
      <c r="AW20" s="88">
        <f>X20*Calibration!AT20*UseUserCal</f>
        <v>0.22842447633800836</v>
      </c>
      <c r="AX20" s="88">
        <f t="shared" si="22"/>
        <v>1.171578676550175E-3</v>
      </c>
      <c r="AY20" s="167">
        <f t="shared" si="47"/>
        <v>0.22842748080493444</v>
      </c>
      <c r="AZ20" s="88">
        <f>U20*B20*(10^('Meas. Noise Std'!AB21/(ENRconf*10))-1)</f>
        <v>11.322418033389122</v>
      </c>
      <c r="BA20" s="88">
        <f t="shared" si="23"/>
        <v>0</v>
      </c>
      <c r="BB20" s="88">
        <f t="shared" si="24"/>
        <v>0</v>
      </c>
      <c r="BC20" s="88">
        <f t="shared" si="48"/>
        <v>0</v>
      </c>
      <c r="BD20" s="88">
        <f t="shared" si="25"/>
        <v>19.748626861593394</v>
      </c>
      <c r="BE20" s="4">
        <f t="shared" si="26"/>
        <v>39.497253723186788</v>
      </c>
      <c r="BF20" s="4">
        <f t="shared" si="27"/>
        <v>0.2293173399702568</v>
      </c>
      <c r="BG20" s="88">
        <f t="shared" si="28"/>
        <v>477.94431886096561</v>
      </c>
      <c r="BH20" s="88">
        <f t="shared" si="29"/>
        <v>398.94981141459198</v>
      </c>
      <c r="BI20" s="86">
        <f t="shared" si="30"/>
        <v>5.0740055864689309</v>
      </c>
      <c r="BJ20" s="86">
        <f>10*LOG10(($O20+NseMeas!T_0+BI20)/($O20+NseMeas!T_0))</f>
        <v>3.0145957647859323E-2</v>
      </c>
      <c r="BK20" s="86">
        <f t="shared" si="31"/>
        <v>31.95763144423336</v>
      </c>
      <c r="BL20" s="86">
        <f>10*LOG10(($O20+NseMeas!T_0+BK20)/($O20+NseMeas!T_0))</f>
        <v>0.18646792689705061</v>
      </c>
      <c r="BM20" s="86">
        <f t="shared" si="32"/>
        <v>22.644836066778243</v>
      </c>
      <c r="BN20" s="86">
        <f>10*LOG10(($O20+NseMeas!T_0+BM20)/($O20+NseMeas!T_0))</f>
        <v>0.13295081241238624</v>
      </c>
      <c r="BO20" s="86">
        <f t="shared" si="33"/>
        <v>0.45684895267601672</v>
      </c>
      <c r="BP20" s="86">
        <f>10*LOG10(($O20+NseMeas!T_0+BO20)/($O20+NseMeas!T_0))</f>
        <v>2.7228442363920143E-3</v>
      </c>
      <c r="BQ20" s="86">
        <f t="shared" si="34"/>
        <v>0</v>
      </c>
      <c r="BR20" s="86">
        <f>10*LOG10(($O20+NseMeas!T_0+BQ20)/($O20+NseMeas!T_0))</f>
        <v>0</v>
      </c>
      <c r="BT20" s="86">
        <f t="shared" si="35"/>
        <v>0</v>
      </c>
      <c r="BU20" s="86">
        <f>10*LOG10(($O20+NseMeas!T_0+BT20)/($O20+NseMeas!T_0))</f>
        <v>0</v>
      </c>
      <c r="BV20" s="86">
        <f t="shared" si="36"/>
        <v>31.95763144423336</v>
      </c>
      <c r="BW20" s="86">
        <f>10*LOG10(($O20+NseMeas!T_0+BV20)/($O20+NseMeas!T_0))</f>
        <v>0.18646792689705061</v>
      </c>
      <c r="BX20" s="175">
        <f>UseUserCal*X20*Calibration!AM20*nSD</f>
        <v>0</v>
      </c>
      <c r="BY20" s="86">
        <f>10*LOG10(($O20+NseMeas!T_0+BX20)/($O20+NseMeas!T_0))</f>
        <v>0</v>
      </c>
      <c r="BZ20" s="168">
        <f>UseUserCal*X20*Calibration!AP20*nSD</f>
        <v>0.45096991767149258</v>
      </c>
      <c r="CA20" s="86">
        <f>10*LOG10(($O20+NseMeas!T_0+BZ20)/($O20+NseMeas!T_0))</f>
        <v>2.6878157133072068E-3</v>
      </c>
      <c r="CB20" s="4">
        <f t="shared" si="37"/>
        <v>31.960813215437703</v>
      </c>
      <c r="CC20" s="86">
        <f>10*LOG10(($O20+NseMeas!T_0+CB20)/($O20+NseMeas!T_0))</f>
        <v>0.18648609909919484</v>
      </c>
    </row>
    <row r="21" spans="1:81">
      <c r="A21" s="4">
        <f t="shared" si="38"/>
        <v>8.5480000000000036</v>
      </c>
      <c r="B21" s="164">
        <f>T_0*(1+10^('Meas. Noise Std'!AA22/10))</f>
        <v>1207.0605214488303</v>
      </c>
      <c r="C21" s="164">
        <f t="shared" si="0"/>
        <v>298</v>
      </c>
      <c r="D21" s="86">
        <f t="shared" si="1"/>
        <v>298</v>
      </c>
      <c r="E21" s="164">
        <f>IF(UsePreamp,T_0*(10^(Preamp!AE22/10)-1),0)</f>
        <v>438.4470651377784</v>
      </c>
      <c r="F21" s="164">
        <f>T_0*(10^((FieldFox!B21-kT0dB)/10)-1)</f>
        <v>5463.5001790836332</v>
      </c>
      <c r="G21" s="86">
        <f>IF(UsePreamp,10^(Preamp!AD22/10),1)</f>
        <v>67.95915965698984</v>
      </c>
      <c r="H21" s="86">
        <f>T_0*(10^(DUT!AE22/10)-1)</f>
        <v>438.4470651377784</v>
      </c>
      <c r="I21" s="86">
        <f>10^(DUT!AD22/10)</f>
        <v>100</v>
      </c>
      <c r="J21" s="87">
        <f t="shared" si="2"/>
        <v>5.5290584746036068E-7</v>
      </c>
      <c r="K21" s="87">
        <f t="shared" si="3"/>
        <v>2.4841314909168038E-7</v>
      </c>
      <c r="L21" s="87">
        <f t="shared" si="4"/>
        <v>2.8396947915657021E-10</v>
      </c>
      <c r="M21" s="87">
        <f>IF(UseUserCal,Calibration!M21,0)</f>
        <v>1.4685923192754708E-9</v>
      </c>
      <c r="N21" s="87">
        <f>IF(UseUserCal,Calibration!L21,1)</f>
        <v>67.959159656989854</v>
      </c>
      <c r="O21" s="165">
        <f t="shared" si="5"/>
        <v>438.44706513777851</v>
      </c>
      <c r="P21" s="86">
        <f t="shared" si="6"/>
        <v>100</v>
      </c>
      <c r="Q21" s="170">
        <f t="shared" si="7"/>
        <v>4.0430874138554143E-7</v>
      </c>
      <c r="R21" s="87">
        <f t="shared" si="8"/>
        <v>1.468592319275471E-7</v>
      </c>
      <c r="S21" s="87">
        <f t="shared" si="39"/>
        <v>5403951377.2804241</v>
      </c>
      <c r="T21" s="87">
        <f t="shared" si="9"/>
        <v>2418459356.226644</v>
      </c>
      <c r="U21" s="87">
        <f t="shared" si="10"/>
        <v>0.8100706145491583</v>
      </c>
      <c r="V21" s="87">
        <f t="shared" si="11"/>
        <v>-1.8100706145491585</v>
      </c>
      <c r="W21" s="87">
        <f t="shared" si="12"/>
        <v>1.471471991483265E-4</v>
      </c>
      <c r="X21" s="87">
        <f t="shared" si="40"/>
        <v>2985492021.0537796</v>
      </c>
      <c r="Y21" s="86">
        <f>FieldFox!AG21</f>
        <v>0.1</v>
      </c>
      <c r="Z21" s="86">
        <f>FieldFox!AF21</f>
        <v>0.1</v>
      </c>
      <c r="AA21" s="86">
        <f>FieldFox!AH21</f>
        <v>0.1</v>
      </c>
      <c r="AB21" s="87">
        <f t="shared" si="41"/>
        <v>1.3389238540091567E-3</v>
      </c>
      <c r="AC21" s="87">
        <f t="shared" si="13"/>
        <v>1.3389238540091567E-3</v>
      </c>
      <c r="AD21" s="87">
        <f t="shared" si="14"/>
        <v>1.3389238540091567E-3</v>
      </c>
      <c r="AE21" s="87">
        <f>DUT!AF22</f>
        <v>0.2</v>
      </c>
      <c r="AF21" s="4">
        <f t="shared" si="42"/>
        <v>0.40853898265363492</v>
      </c>
      <c r="AG21" s="4">
        <f>'Meas. Noise Std'!AC22</f>
        <v>0.1</v>
      </c>
      <c r="AH21" s="4">
        <f>'Meas. Noise Std'!AD22</f>
        <v>1</v>
      </c>
      <c r="AI21" s="4">
        <f>DUT!AH22</f>
        <v>0</v>
      </c>
      <c r="AJ21" s="166">
        <f t="shared" si="15"/>
        <v>1.6341559306145403E-2</v>
      </c>
      <c r="AK21" s="166">
        <f t="shared" si="16"/>
        <v>0</v>
      </c>
      <c r="AL21" s="163">
        <f t="shared" si="43"/>
        <v>1.6341559306145403E-2</v>
      </c>
      <c r="AM21" s="4">
        <f t="shared" si="17"/>
        <v>0</v>
      </c>
      <c r="AN21" s="4">
        <f>DUT!AG22</f>
        <v>0.31622776601683794</v>
      </c>
      <c r="AO21" s="4">
        <f>IF(AND(UsePreamp,UseUserCal),Preamp!AF22,0)</f>
        <v>0.3981071705534972</v>
      </c>
      <c r="AP21" s="4">
        <f t="shared" si="44"/>
        <v>0.40853898265363492</v>
      </c>
      <c r="AQ21" s="88">
        <f t="shared" si="18"/>
        <v>1.7973882241707317</v>
      </c>
      <c r="AR21" s="88">
        <f t="shared" si="19"/>
        <v>0</v>
      </c>
      <c r="AS21" s="88">
        <f t="shared" si="45"/>
        <v>1.7973882241707317</v>
      </c>
      <c r="AT21" s="88">
        <f t="shared" si="20"/>
        <v>1.7903826274296293</v>
      </c>
      <c r="AU21" s="88">
        <f t="shared" si="21"/>
        <v>15.978846278577183</v>
      </c>
      <c r="AV21" s="88">
        <f t="shared" si="46"/>
        <v>16.078836971217843</v>
      </c>
      <c r="AW21" s="88">
        <f>X21*Calibration!AT21*UseUserCal</f>
        <v>0.22842442435097451</v>
      </c>
      <c r="AX21" s="88">
        <f t="shared" si="22"/>
        <v>1.1351243987696468E-3</v>
      </c>
      <c r="AY21" s="167">
        <f t="shared" si="47"/>
        <v>0.22842724475743859</v>
      </c>
      <c r="AZ21" s="88">
        <f>U21*B21*(10^('Meas. Noise Std'!AB22/(ENRconf*10))-1)</f>
        <v>11.322439685370442</v>
      </c>
      <c r="BA21" s="88">
        <f t="shared" si="23"/>
        <v>0</v>
      </c>
      <c r="BB21" s="88">
        <f t="shared" si="24"/>
        <v>0</v>
      </c>
      <c r="BC21" s="88">
        <f t="shared" si="48"/>
        <v>0</v>
      </c>
      <c r="BD21" s="88">
        <f t="shared" si="25"/>
        <v>19.748656212775298</v>
      </c>
      <c r="BE21" s="4">
        <f t="shared" si="26"/>
        <v>39.497312425550597</v>
      </c>
      <c r="BF21" s="4">
        <f t="shared" si="27"/>
        <v>0.22931767194890543</v>
      </c>
      <c r="BG21" s="88">
        <f t="shared" si="28"/>
        <v>477.94437756332911</v>
      </c>
      <c r="BH21" s="88">
        <f t="shared" si="29"/>
        <v>398.94975271222791</v>
      </c>
      <c r="BI21" s="86">
        <f t="shared" si="30"/>
        <v>5.073884377672333</v>
      </c>
      <c r="BJ21" s="86">
        <f>10*LOG10(($O21+NseMeas!T_0+BI21)/($O21+NseMeas!T_0))</f>
        <v>3.0145240009089507E-2</v>
      </c>
      <c r="BK21" s="86">
        <f t="shared" si="31"/>
        <v>31.957692557154367</v>
      </c>
      <c r="BL21" s="86">
        <f>10*LOG10(($O21+NseMeas!T_0+BK21)/($O21+NseMeas!T_0))</f>
        <v>0.18646827593491708</v>
      </c>
      <c r="BM21" s="86">
        <f t="shared" si="32"/>
        <v>22.644879370740885</v>
      </c>
      <c r="BN21" s="86">
        <f>10*LOG10(($O21+NseMeas!T_0+BM21)/($O21+NseMeas!T_0))</f>
        <v>0.13295106280347013</v>
      </c>
      <c r="BO21" s="86">
        <f t="shared" si="33"/>
        <v>0.45684884870194903</v>
      </c>
      <c r="BP21" s="86">
        <f>10*LOG10(($O21+NseMeas!T_0+BO21)/($O21+NseMeas!T_0))</f>
        <v>2.7228436168944465E-3</v>
      </c>
      <c r="BQ21" s="86">
        <f t="shared" si="34"/>
        <v>0</v>
      </c>
      <c r="BR21" s="86">
        <f>10*LOG10(($O21+NseMeas!T_0+BQ21)/($O21+NseMeas!T_0))</f>
        <v>0</v>
      </c>
      <c r="BT21" s="86">
        <f t="shared" si="35"/>
        <v>0</v>
      </c>
      <c r="BU21" s="86">
        <f>10*LOG10(($O21+NseMeas!T_0+BT21)/($O21+NseMeas!T_0))</f>
        <v>0</v>
      </c>
      <c r="BV21" s="86">
        <f t="shared" si="36"/>
        <v>31.957692557154367</v>
      </c>
      <c r="BW21" s="86">
        <f>10*LOG10(($O21+NseMeas!T_0+BV21)/($O21+NseMeas!T_0))</f>
        <v>0.18646827593491708</v>
      </c>
      <c r="BX21" s="175">
        <f>UseUserCal*X21*Calibration!AM21*nSD</f>
        <v>0</v>
      </c>
      <c r="BY21" s="86">
        <f>10*LOG10(($O21+NseMeas!T_0+BX21)/($O21+NseMeas!T_0))</f>
        <v>0</v>
      </c>
      <c r="BZ21" s="168">
        <f>UseUserCal*X21*Calibration!AP21*nSD</f>
        <v>0.45096991767149258</v>
      </c>
      <c r="CA21" s="86">
        <f>10*LOG10(($O21+NseMeas!T_0+BZ21)/($O21+NseMeas!T_0))</f>
        <v>2.6878157133072068E-3</v>
      </c>
      <c r="CB21" s="4">
        <f t="shared" si="37"/>
        <v>31.960874322274794</v>
      </c>
      <c r="CC21" s="86">
        <f>10*LOG10(($O21+NseMeas!T_0+CB21)/($O21+NseMeas!T_0))</f>
        <v>0.18648644810085321</v>
      </c>
    </row>
    <row r="22" spans="1:81">
      <c r="A22" s="4">
        <f t="shared" si="38"/>
        <v>9.0760000000000041</v>
      </c>
      <c r="B22" s="164">
        <f>T_0*(1+10^('Meas. Noise Std'!AA23/10))</f>
        <v>1207.0605214488303</v>
      </c>
      <c r="C22" s="164">
        <f t="shared" si="0"/>
        <v>298</v>
      </c>
      <c r="D22" s="86">
        <f t="shared" si="1"/>
        <v>298</v>
      </c>
      <c r="E22" s="164">
        <f>IF(UsePreamp,T_0*(10^(Preamp!AE23/10)-1),0)</f>
        <v>438.4470651377784</v>
      </c>
      <c r="F22" s="164">
        <f>T_0*(10^((FieldFox!B22-kT0dB)/10)-1)</f>
        <v>5463.5001790836332</v>
      </c>
      <c r="G22" s="86">
        <f>IF(UsePreamp,10^(Preamp!AD23/10),1)</f>
        <v>70.141653563871174</v>
      </c>
      <c r="H22" s="86">
        <f>T_0*(10^(DUT!AE23/10)-1)</f>
        <v>438.4470651377784</v>
      </c>
      <c r="I22" s="86">
        <f>10^(DUT!AD23/10)</f>
        <v>100</v>
      </c>
      <c r="J22" s="87">
        <f t="shared" si="2"/>
        <v>5.7065365280845706E-7</v>
      </c>
      <c r="K22" s="87">
        <f t="shared" si="3"/>
        <v>2.5638223642393166E-7</v>
      </c>
      <c r="L22" s="87">
        <f t="shared" si="4"/>
        <v>2.8396947915657021E-10</v>
      </c>
      <c r="M22" s="87">
        <f>IF(UseUserCal,Calibration!M22,0)</f>
        <v>1.5157558481461781E-9</v>
      </c>
      <c r="N22" s="87">
        <f>IF(UseUserCal,Calibration!L22,1)</f>
        <v>70.141653563871174</v>
      </c>
      <c r="O22" s="165">
        <f t="shared" si="5"/>
        <v>438.44706513777845</v>
      </c>
      <c r="P22" s="86">
        <f t="shared" si="6"/>
        <v>100.00000000000001</v>
      </c>
      <c r="Q22" s="170">
        <f t="shared" si="7"/>
        <v>4.1729303031769647E-7</v>
      </c>
      <c r="R22" s="87">
        <f t="shared" si="8"/>
        <v>1.515755848146178E-7</v>
      </c>
      <c r="S22" s="87">
        <f t="shared" si="39"/>
        <v>5235808970.6740932</v>
      </c>
      <c r="T22" s="87">
        <f t="shared" si="9"/>
        <v>2343212081.3134861</v>
      </c>
      <c r="U22" s="87">
        <f t="shared" si="10"/>
        <v>0.81007211545174584</v>
      </c>
      <c r="V22" s="87">
        <f t="shared" si="11"/>
        <v>-1.8100721154517458</v>
      </c>
      <c r="W22" s="87">
        <f t="shared" si="12"/>
        <v>1.4256863777660977E-4</v>
      </c>
      <c r="X22" s="87">
        <f t="shared" si="40"/>
        <v>2892596889.3606071</v>
      </c>
      <c r="Y22" s="86">
        <f>FieldFox!AG22</f>
        <v>0.1</v>
      </c>
      <c r="Z22" s="86">
        <f>FieldFox!AF22</f>
        <v>0.1</v>
      </c>
      <c r="AA22" s="86">
        <f>FieldFox!AH22</f>
        <v>0.1</v>
      </c>
      <c r="AB22" s="87">
        <f t="shared" si="41"/>
        <v>1.3389238540091567E-3</v>
      </c>
      <c r="AC22" s="87">
        <f t="shared" si="13"/>
        <v>1.3389238540091567E-3</v>
      </c>
      <c r="AD22" s="87">
        <f t="shared" si="14"/>
        <v>1.3389238540091567E-3</v>
      </c>
      <c r="AE22" s="87">
        <f>DUT!AF23</f>
        <v>0.2</v>
      </c>
      <c r="AF22" s="4">
        <f t="shared" si="42"/>
        <v>0.40853898265363492</v>
      </c>
      <c r="AG22" s="4">
        <f>'Meas. Noise Std'!AC23</f>
        <v>0.1</v>
      </c>
      <c r="AH22" s="4">
        <f>'Meas. Noise Std'!AD23</f>
        <v>1</v>
      </c>
      <c r="AI22" s="4">
        <f>DUT!AH23</f>
        <v>0</v>
      </c>
      <c r="AJ22" s="166">
        <f t="shared" si="15"/>
        <v>1.6341559306145403E-2</v>
      </c>
      <c r="AK22" s="166">
        <f t="shared" si="16"/>
        <v>0</v>
      </c>
      <c r="AL22" s="163">
        <f t="shared" si="43"/>
        <v>1.6341559306145403E-2</v>
      </c>
      <c r="AM22" s="4">
        <f t="shared" si="17"/>
        <v>0</v>
      </c>
      <c r="AN22" s="4">
        <f>DUT!AG23</f>
        <v>0.31622776601683794</v>
      </c>
      <c r="AO22" s="4">
        <f>IF(AND(UsePreamp,UseUserCal),Preamp!AF23,0)</f>
        <v>0.3981071705534972</v>
      </c>
      <c r="AP22" s="4">
        <f t="shared" si="44"/>
        <v>0.40853898265363492</v>
      </c>
      <c r="AQ22" s="88">
        <f t="shared" si="18"/>
        <v>1.797329089556172</v>
      </c>
      <c r="AR22" s="88">
        <f t="shared" si="19"/>
        <v>0</v>
      </c>
      <c r="AS22" s="88">
        <f t="shared" si="45"/>
        <v>1.797329089556172</v>
      </c>
      <c r="AT22" s="88">
        <f t="shared" si="20"/>
        <v>1.7903588127991017</v>
      </c>
      <c r="AU22" s="88">
        <f t="shared" si="21"/>
        <v>15.978875884257596</v>
      </c>
      <c r="AV22" s="88">
        <f t="shared" si="46"/>
        <v>16.078863741044525</v>
      </c>
      <c r="AW22" s="88">
        <f>X22*Calibration!AT22*UseUserCal</f>
        <v>0.22842437419786887</v>
      </c>
      <c r="AX22" s="88">
        <f t="shared" si="22"/>
        <v>1.0998044147374603E-3</v>
      </c>
      <c r="AY22" s="167">
        <f t="shared" si="47"/>
        <v>0.22842702181974597</v>
      </c>
      <c r="AZ22" s="88">
        <f>U22*B22*(10^('Meas. Noise Std'!AB23/(ENRconf*10))-1)</f>
        <v>11.322460663639145</v>
      </c>
      <c r="BA22" s="88">
        <f t="shared" si="23"/>
        <v>0</v>
      </c>
      <c r="BB22" s="88">
        <f t="shared" si="24"/>
        <v>0</v>
      </c>
      <c r="BC22" s="88">
        <f t="shared" si="48"/>
        <v>0</v>
      </c>
      <c r="BD22" s="88">
        <f t="shared" si="25"/>
        <v>19.748684650963323</v>
      </c>
      <c r="BE22" s="4">
        <f t="shared" si="26"/>
        <v>39.497369301926646</v>
      </c>
      <c r="BF22" s="4">
        <f t="shared" si="27"/>
        <v>0.22931799360104643</v>
      </c>
      <c r="BG22" s="88">
        <f t="shared" si="28"/>
        <v>477.94443443970511</v>
      </c>
      <c r="BH22" s="88">
        <f t="shared" si="29"/>
        <v>398.9496958358518</v>
      </c>
      <c r="BI22" s="86">
        <f t="shared" si="30"/>
        <v>5.0737669415541653</v>
      </c>
      <c r="BJ22" s="86">
        <f>10*LOG10(($O22+NseMeas!T_0+BI22)/($O22+NseMeas!T_0))</f>
        <v>3.0144544707036515E-2</v>
      </c>
      <c r="BK22" s="86">
        <f t="shared" si="31"/>
        <v>31.957751768515191</v>
      </c>
      <c r="BL22" s="86">
        <f>10*LOG10(($O22+NseMeas!T_0+BK22)/($O22+NseMeas!T_0))</f>
        <v>0.18646861411226306</v>
      </c>
      <c r="BM22" s="86">
        <f t="shared" si="32"/>
        <v>22.64492132727829</v>
      </c>
      <c r="BN22" s="86">
        <f>10*LOG10(($O22+NseMeas!T_0+BM22)/($O22+NseMeas!T_0))</f>
        <v>0.13295130540349148</v>
      </c>
      <c r="BO22" s="86">
        <f t="shared" si="33"/>
        <v>0.45684874839573775</v>
      </c>
      <c r="BP22" s="86">
        <f>10*LOG10(($O22+NseMeas!T_0+BO22)/($O22+NseMeas!T_0))</f>
        <v>2.7228430192512256E-3</v>
      </c>
      <c r="BQ22" s="86">
        <f t="shared" si="34"/>
        <v>0</v>
      </c>
      <c r="BR22" s="86">
        <f>10*LOG10(($O22+NseMeas!T_0+BQ22)/($O22+NseMeas!T_0))</f>
        <v>0</v>
      </c>
      <c r="BT22" s="86">
        <f t="shared" si="35"/>
        <v>0</v>
      </c>
      <c r="BU22" s="86">
        <f>10*LOG10(($O22+NseMeas!T_0+BT22)/($O22+NseMeas!T_0))</f>
        <v>0</v>
      </c>
      <c r="BV22" s="86">
        <f t="shared" si="36"/>
        <v>31.957751768515191</v>
      </c>
      <c r="BW22" s="86">
        <f>10*LOG10(($O22+NseMeas!T_0+BV22)/($O22+NseMeas!T_0))</f>
        <v>0.18646861411226306</v>
      </c>
      <c r="BX22" s="175">
        <f>UseUserCal*X22*Calibration!AM22*nSD</f>
        <v>0</v>
      </c>
      <c r="BY22" s="86">
        <f>10*LOG10(($O22+NseMeas!T_0+BX22)/($O22+NseMeas!T_0))</f>
        <v>0</v>
      </c>
      <c r="BZ22" s="168">
        <f>UseUserCal*X22*Calibration!AP22*nSD</f>
        <v>0.45096991767149264</v>
      </c>
      <c r="CA22" s="86">
        <f>10*LOG10(($O22+NseMeas!T_0+BZ22)/($O22+NseMeas!T_0))</f>
        <v>2.6878157133072068E-3</v>
      </c>
      <c r="CB22" s="4">
        <f t="shared" si="37"/>
        <v>31.960933527741027</v>
      </c>
      <c r="CC22" s="86">
        <f>10*LOG10(($O22+NseMeas!T_0+CB22)/($O22+NseMeas!T_0))</f>
        <v>0.18648678624311829</v>
      </c>
    </row>
    <row r="23" spans="1:81">
      <c r="A23" s="4">
        <f t="shared" si="38"/>
        <v>9.6040000000000045</v>
      </c>
      <c r="B23" s="164">
        <f>T_0*(1+10^('Meas. Noise Std'!AA24/10))</f>
        <v>1207.0605214488303</v>
      </c>
      <c r="C23" s="164">
        <f t="shared" si="0"/>
        <v>298</v>
      </c>
      <c r="D23" s="86">
        <f t="shared" si="1"/>
        <v>298</v>
      </c>
      <c r="E23" s="164">
        <f>IF(UsePreamp,T_0*(10^(Preamp!AE24/10)-1),0)</f>
        <v>438.4470651377784</v>
      </c>
      <c r="F23" s="164">
        <f>T_0*(10^((FieldFox!B23-kT0dB)/10)-1)</f>
        <v>5463.5001790836332</v>
      </c>
      <c r="G23" s="86">
        <f>IF(UsePreamp,10^(Preamp!AD24/10),1)</f>
        <v>72.394237796730934</v>
      </c>
      <c r="H23" s="86">
        <f>T_0*(10^(DUT!AE24/10)-1)</f>
        <v>438.4470651377784</v>
      </c>
      <c r="I23" s="86">
        <f>10^(DUT!AD24/10)</f>
        <v>100</v>
      </c>
      <c r="J23" s="87">
        <f t="shared" si="2"/>
        <v>5.8897142513713823E-7</v>
      </c>
      <c r="K23" s="87">
        <f t="shared" si="3"/>
        <v>2.646072492949012E-7</v>
      </c>
      <c r="L23" s="87">
        <f t="shared" si="4"/>
        <v>2.8396947915657021E-10</v>
      </c>
      <c r="M23" s="87">
        <f>IF(UseUserCal,Calibration!M23,0)</f>
        <v>1.5644340236797777E-9</v>
      </c>
      <c r="N23" s="87">
        <f>IF(UseUserCal,Calibration!L23,1)</f>
        <v>72.394237796730934</v>
      </c>
      <c r="O23" s="165">
        <f t="shared" si="5"/>
        <v>438.44706513777805</v>
      </c>
      <c r="P23" s="86">
        <f t="shared" si="6"/>
        <v>100.00000000000003</v>
      </c>
      <c r="Q23" s="170">
        <f t="shared" si="7"/>
        <v>4.3069430691748402E-7</v>
      </c>
      <c r="R23" s="87">
        <f t="shared" si="8"/>
        <v>1.5644340236797776E-7</v>
      </c>
      <c r="S23" s="87">
        <f t="shared" si="39"/>
        <v>5072898136.2287998</v>
      </c>
      <c r="T23" s="87">
        <f t="shared" si="9"/>
        <v>2270305898.3887763</v>
      </c>
      <c r="U23" s="87">
        <f t="shared" si="10"/>
        <v>0.81007356965297073</v>
      </c>
      <c r="V23" s="87">
        <f t="shared" si="11"/>
        <v>-1.8100735696529708</v>
      </c>
      <c r="W23" s="87">
        <f t="shared" si="12"/>
        <v>1.3813254071516119E-4</v>
      </c>
      <c r="X23" s="87">
        <f t="shared" si="40"/>
        <v>2802592237.8400245</v>
      </c>
      <c r="Y23" s="86">
        <f>FieldFox!AG23</f>
        <v>0.1</v>
      </c>
      <c r="Z23" s="86">
        <f>FieldFox!AF23</f>
        <v>0.1</v>
      </c>
      <c r="AA23" s="86">
        <f>FieldFox!AH23</f>
        <v>0.1</v>
      </c>
      <c r="AB23" s="87">
        <f t="shared" si="41"/>
        <v>1.3389238540091567E-3</v>
      </c>
      <c r="AC23" s="87">
        <f t="shared" si="13"/>
        <v>1.3389238540091567E-3</v>
      </c>
      <c r="AD23" s="87">
        <f t="shared" si="14"/>
        <v>1.3389238540091567E-3</v>
      </c>
      <c r="AE23" s="87">
        <f>DUT!AF24</f>
        <v>0.2</v>
      </c>
      <c r="AF23" s="4">
        <f t="shared" si="42"/>
        <v>0.40853898265363492</v>
      </c>
      <c r="AG23" s="4">
        <f>'Meas. Noise Std'!AC24</f>
        <v>0.1</v>
      </c>
      <c r="AH23" s="4">
        <f>'Meas. Noise Std'!AD24</f>
        <v>1</v>
      </c>
      <c r="AI23" s="4">
        <f>DUT!AH24</f>
        <v>0</v>
      </c>
      <c r="AJ23" s="166">
        <f t="shared" si="15"/>
        <v>1.6341559306145403E-2</v>
      </c>
      <c r="AK23" s="166">
        <f t="shared" si="16"/>
        <v>0</v>
      </c>
      <c r="AL23" s="163">
        <f t="shared" si="43"/>
        <v>1.6341559306145403E-2</v>
      </c>
      <c r="AM23" s="4">
        <f t="shared" si="17"/>
        <v>0</v>
      </c>
      <c r="AN23" s="4">
        <f>DUT!AG24</f>
        <v>0.31622776601683794</v>
      </c>
      <c r="AO23" s="4">
        <f>IF(AND(UsePreamp,UseUserCal),Preamp!AF24,0)</f>
        <v>0.3981071705534972</v>
      </c>
      <c r="AP23" s="4">
        <f t="shared" si="44"/>
        <v>0.40853898265363492</v>
      </c>
      <c r="AQ23" s="88">
        <f t="shared" si="18"/>
        <v>1.7972717948498975</v>
      </c>
      <c r="AR23" s="88">
        <f t="shared" si="19"/>
        <v>0</v>
      </c>
      <c r="AS23" s="88">
        <f t="shared" si="45"/>
        <v>1.7972717948498975</v>
      </c>
      <c r="AT23" s="88">
        <f t="shared" si="20"/>
        <v>1.7903357390772494</v>
      </c>
      <c r="AU23" s="88">
        <f t="shared" si="21"/>
        <v>15.978904568741902</v>
      </c>
      <c r="AV23" s="88">
        <f t="shared" si="46"/>
        <v>16.078889677946609</v>
      </c>
      <c r="AW23" s="88">
        <f>X23*Calibration!AT23*UseUserCal</f>
        <v>0.22842432580837521</v>
      </c>
      <c r="AX23" s="88">
        <f t="shared" si="22"/>
        <v>1.0655834303156995E-3</v>
      </c>
      <c r="AY23" s="167">
        <f t="shared" si="47"/>
        <v>0.22842681123076974</v>
      </c>
      <c r="AZ23" s="88">
        <f>U23*B23*(10^('Meas. Noise Std'!AB24/(ENRconf*10))-1)</f>
        <v>11.322480989158136</v>
      </c>
      <c r="BA23" s="88">
        <f t="shared" si="23"/>
        <v>0</v>
      </c>
      <c r="BB23" s="88">
        <f t="shared" si="24"/>
        <v>0</v>
      </c>
      <c r="BC23" s="88">
        <f t="shared" si="48"/>
        <v>0</v>
      </c>
      <c r="BD23" s="88">
        <f t="shared" si="25"/>
        <v>19.748712204548362</v>
      </c>
      <c r="BE23" s="4">
        <f t="shared" si="26"/>
        <v>39.497424409096723</v>
      </c>
      <c r="BF23" s="4">
        <f t="shared" si="27"/>
        <v>0.22931830524780064</v>
      </c>
      <c r="BG23" s="88">
        <f t="shared" si="28"/>
        <v>477.94448954687476</v>
      </c>
      <c r="BH23" s="88">
        <f t="shared" si="29"/>
        <v>398.94964072868135</v>
      </c>
      <c r="BI23" s="86">
        <f t="shared" si="30"/>
        <v>5.0736531606519186</v>
      </c>
      <c r="BJ23" s="86">
        <f>10*LOG10(($O23+NseMeas!T_0+BI23)/($O23+NseMeas!T_0))</f>
        <v>3.0143871046253601E-2</v>
      </c>
      <c r="BK23" s="86">
        <f t="shared" si="31"/>
        <v>31.957809137483803</v>
      </c>
      <c r="BL23" s="86">
        <f>10*LOG10(($O23+NseMeas!T_0+BK23)/($O23+NseMeas!T_0))</f>
        <v>0.18646894176702067</v>
      </c>
      <c r="BM23" s="86">
        <f t="shared" si="32"/>
        <v>22.644961978316271</v>
      </c>
      <c r="BN23" s="86">
        <f>10*LOG10(($O23+NseMeas!T_0+BM23)/($O23+NseMeas!T_0))</f>
        <v>0.13295154045487398</v>
      </c>
      <c r="BO23" s="86">
        <f t="shared" si="33"/>
        <v>0.45684865161675042</v>
      </c>
      <c r="BP23" s="86">
        <f>10*LOG10(($O23+NseMeas!T_0+BO23)/($O23+NseMeas!T_0))</f>
        <v>2.7228424426248773E-3</v>
      </c>
      <c r="BQ23" s="86">
        <f t="shared" si="34"/>
        <v>0</v>
      </c>
      <c r="BR23" s="86">
        <f>10*LOG10(($O23+NseMeas!T_0+BQ23)/($O23+NseMeas!T_0))</f>
        <v>0</v>
      </c>
      <c r="BT23" s="86">
        <f t="shared" si="35"/>
        <v>0</v>
      </c>
      <c r="BU23" s="86">
        <f>10*LOG10(($O23+NseMeas!T_0+BT23)/($O23+NseMeas!T_0))</f>
        <v>0</v>
      </c>
      <c r="BV23" s="86">
        <f t="shared" si="36"/>
        <v>31.957809137483803</v>
      </c>
      <c r="BW23" s="86">
        <f>10*LOG10(($O23+NseMeas!T_0+BV23)/($O23+NseMeas!T_0))</f>
        <v>0.18646894176702067</v>
      </c>
      <c r="BX23" s="175">
        <f>UseUserCal*X23*Calibration!AM23*nSD</f>
        <v>0</v>
      </c>
      <c r="BY23" s="86">
        <f>10*LOG10(($O23+NseMeas!T_0+BX23)/($O23+NseMeas!T_0))</f>
        <v>0</v>
      </c>
      <c r="BZ23" s="168">
        <f>UseUserCal*X23*Calibration!AP23*nSD</f>
        <v>0.45096991767149253</v>
      </c>
      <c r="CA23" s="86">
        <f>10*LOG10(($O23+NseMeas!T_0+BZ23)/($O23+NseMeas!T_0))</f>
        <v>2.6878157133072068E-3</v>
      </c>
      <c r="CB23" s="4">
        <f t="shared" si="37"/>
        <v>31.960990890998481</v>
      </c>
      <c r="CC23" s="86">
        <f>10*LOG10(($O23+NseMeas!T_0+CB23)/($O23+NseMeas!T_0))</f>
        <v>0.18648711386388567</v>
      </c>
    </row>
    <row r="24" spans="1:81">
      <c r="A24" s="4">
        <f t="shared" si="38"/>
        <v>10.132000000000005</v>
      </c>
      <c r="B24" s="164">
        <f>T_0*(1+10^('Meas. Noise Std'!AA25/10))</f>
        <v>1207.0605214488303</v>
      </c>
      <c r="C24" s="164">
        <f t="shared" si="0"/>
        <v>298</v>
      </c>
      <c r="D24" s="86">
        <f t="shared" si="1"/>
        <v>298</v>
      </c>
      <c r="E24" s="164">
        <f>IF(UsePreamp,T_0*(10^(Preamp!AE25/10)-1),0)</f>
        <v>438.4470651377784</v>
      </c>
      <c r="F24" s="164">
        <f>T_0*(10^((FieldFox!B24-kT0dB)/10)-1)</f>
        <v>5463.5001790836332</v>
      </c>
      <c r="G24" s="86">
        <f>IF(UsePreamp,10^(Preamp!AD25/10),1)</f>
        <v>74.719163291427463</v>
      </c>
      <c r="H24" s="86">
        <f>T_0*(10^(DUT!AE25/10)-1)</f>
        <v>438.4470651377784</v>
      </c>
      <c r="I24" s="86">
        <f>10^(DUT!AD25/10)</f>
        <v>100</v>
      </c>
      <c r="J24" s="87">
        <f t="shared" si="2"/>
        <v>6.0787746881432873E-7</v>
      </c>
      <c r="K24" s="87">
        <f t="shared" si="3"/>
        <v>2.7309640669863893E-7</v>
      </c>
      <c r="L24" s="87">
        <f t="shared" si="4"/>
        <v>2.8396947915657021E-10</v>
      </c>
      <c r="M24" s="87">
        <f>IF(UseUserCal,Calibration!M24,0)</f>
        <v>1.6146754884305541E-9</v>
      </c>
      <c r="N24" s="87">
        <f>IF(UseUserCal,Calibration!L24,1)</f>
        <v>74.719163291427478</v>
      </c>
      <c r="O24" s="165">
        <f t="shared" si="5"/>
        <v>438.44706513777805</v>
      </c>
      <c r="P24" s="86">
        <f t="shared" si="6"/>
        <v>100.00000000000001</v>
      </c>
      <c r="Q24" s="170">
        <f t="shared" si="7"/>
        <v>4.4452596265484608E-7</v>
      </c>
      <c r="R24" s="87">
        <f t="shared" si="8"/>
        <v>1.6146754884305544E-7</v>
      </c>
      <c r="S24" s="87">
        <f t="shared" si="39"/>
        <v>4915056107.15938</v>
      </c>
      <c r="T24" s="87">
        <f t="shared" si="9"/>
        <v>2199667979.4561238</v>
      </c>
      <c r="U24" s="87">
        <f t="shared" si="10"/>
        <v>0.81007497860597144</v>
      </c>
      <c r="V24" s="87">
        <f t="shared" si="11"/>
        <v>-1.8100749786059716</v>
      </c>
      <c r="W24" s="87">
        <f t="shared" si="12"/>
        <v>1.3383447511312402E-4</v>
      </c>
      <c r="X24" s="87">
        <f t="shared" si="40"/>
        <v>2715388127.7032557</v>
      </c>
      <c r="Y24" s="86">
        <f>FieldFox!AG24</f>
        <v>0.1</v>
      </c>
      <c r="Z24" s="86">
        <f>FieldFox!AF24</f>
        <v>0.1</v>
      </c>
      <c r="AA24" s="86">
        <f>FieldFox!AH24</f>
        <v>0.1</v>
      </c>
      <c r="AB24" s="87">
        <f t="shared" si="41"/>
        <v>1.3389238540091567E-3</v>
      </c>
      <c r="AC24" s="87">
        <f t="shared" si="13"/>
        <v>1.3389238540091567E-3</v>
      </c>
      <c r="AD24" s="87">
        <f t="shared" si="14"/>
        <v>1.3389238540091567E-3</v>
      </c>
      <c r="AE24" s="87">
        <f>DUT!AF25</f>
        <v>0.2</v>
      </c>
      <c r="AF24" s="4">
        <f t="shared" si="42"/>
        <v>0.40853898265363492</v>
      </c>
      <c r="AG24" s="4">
        <f>'Meas. Noise Std'!AC25</f>
        <v>0.1</v>
      </c>
      <c r="AH24" s="4">
        <f>'Meas. Noise Std'!AD25</f>
        <v>1</v>
      </c>
      <c r="AI24" s="4">
        <f>DUT!AH25</f>
        <v>0</v>
      </c>
      <c r="AJ24" s="166">
        <f t="shared" si="15"/>
        <v>1.6341559306145403E-2</v>
      </c>
      <c r="AK24" s="166">
        <f t="shared" si="16"/>
        <v>0</v>
      </c>
      <c r="AL24" s="163">
        <f t="shared" si="43"/>
        <v>1.6341559306145403E-2</v>
      </c>
      <c r="AM24" s="4">
        <f t="shared" si="17"/>
        <v>0</v>
      </c>
      <c r="AN24" s="4">
        <f>DUT!AG25</f>
        <v>0.31622776601683794</v>
      </c>
      <c r="AO24" s="4">
        <f>IF(AND(UsePreamp,UseUserCal),Preamp!AF25,0)</f>
        <v>0.3981071705534972</v>
      </c>
      <c r="AP24" s="4">
        <f t="shared" si="44"/>
        <v>0.40853898265363492</v>
      </c>
      <c r="AQ24" s="88">
        <f t="shared" si="18"/>
        <v>1.7972162828080875</v>
      </c>
      <c r="AR24" s="88">
        <f t="shared" si="19"/>
        <v>0</v>
      </c>
      <c r="AS24" s="88">
        <f t="shared" si="45"/>
        <v>1.7972162828080875</v>
      </c>
      <c r="AT24" s="88">
        <f t="shared" si="20"/>
        <v>1.7903133832161928</v>
      </c>
      <c r="AU24" s="88">
        <f t="shared" si="21"/>
        <v>15.978932360693625</v>
      </c>
      <c r="AV24" s="88">
        <f t="shared" si="46"/>
        <v>16.07891480783902</v>
      </c>
      <c r="AW24" s="88">
        <f>X24*Calibration!AT24*UseUserCal</f>
        <v>0.22842427911517729</v>
      </c>
      <c r="AX24" s="88">
        <f t="shared" si="22"/>
        <v>1.0324272495618474E-3</v>
      </c>
      <c r="AY24" s="167">
        <f t="shared" si="47"/>
        <v>0.22842661227473926</v>
      </c>
      <c r="AZ24" s="88">
        <f>U24*B24*(10^('Meas. Noise Std'!AB25/(ENRconf*10))-1)</f>
        <v>11.322500682238077</v>
      </c>
      <c r="BA24" s="88">
        <f t="shared" si="23"/>
        <v>0</v>
      </c>
      <c r="BB24" s="88">
        <f t="shared" si="24"/>
        <v>0</v>
      </c>
      <c r="BC24" s="88">
        <f t="shared" si="48"/>
        <v>0</v>
      </c>
      <c r="BD24" s="88">
        <f t="shared" si="25"/>
        <v>19.748738901039033</v>
      </c>
      <c r="BE24" s="4">
        <f t="shared" si="26"/>
        <v>39.497477802078066</v>
      </c>
      <c r="BF24" s="4">
        <f t="shared" si="27"/>
        <v>0.22931860720030722</v>
      </c>
      <c r="BG24" s="88">
        <f t="shared" si="28"/>
        <v>477.94454293985609</v>
      </c>
      <c r="BH24" s="88">
        <f t="shared" si="29"/>
        <v>398.94958733570002</v>
      </c>
      <c r="BI24" s="86">
        <f t="shared" si="30"/>
        <v>5.0735429211625105</v>
      </c>
      <c r="BJ24" s="86">
        <f>10*LOG10(($O24+NseMeas!T_0+BI24)/($O24+NseMeas!T_0))</f>
        <v>3.0143218352957375E-2</v>
      </c>
      <c r="BK24" s="86">
        <f t="shared" si="31"/>
        <v>31.957864721387249</v>
      </c>
      <c r="BL24" s="86">
        <f>10*LOG10(($O24+NseMeas!T_0+BK24)/($O24+NseMeas!T_0))</f>
        <v>0.18646925922660693</v>
      </c>
      <c r="BM24" s="86">
        <f t="shared" si="32"/>
        <v>22.645001364476155</v>
      </c>
      <c r="BN24" s="86">
        <f>10*LOG10(($O24+NseMeas!T_0+BM24)/($O24+NseMeas!T_0))</f>
        <v>0.1329517681924984</v>
      </c>
      <c r="BO24" s="86">
        <f t="shared" si="33"/>
        <v>0.45684855823035458</v>
      </c>
      <c r="BP24" s="86">
        <f>10*LOG10(($O24+NseMeas!T_0+BO24)/($O24+NseMeas!T_0))</f>
        <v>2.7228418862116572E-3</v>
      </c>
      <c r="BQ24" s="86">
        <f t="shared" si="34"/>
        <v>0</v>
      </c>
      <c r="BR24" s="86">
        <f>10*LOG10(($O24+NseMeas!T_0+BQ24)/($O24+NseMeas!T_0))</f>
        <v>0</v>
      </c>
      <c r="BT24" s="86">
        <f t="shared" si="35"/>
        <v>0</v>
      </c>
      <c r="BU24" s="86">
        <f>10*LOG10(($O24+NseMeas!T_0+BT24)/($O24+NseMeas!T_0))</f>
        <v>0</v>
      </c>
      <c r="BV24" s="86">
        <f t="shared" si="36"/>
        <v>31.957864721387249</v>
      </c>
      <c r="BW24" s="86">
        <f>10*LOG10(($O24+NseMeas!T_0+BV24)/($O24+NseMeas!T_0))</f>
        <v>0.18646925922660693</v>
      </c>
      <c r="BX24" s="175">
        <f>UseUserCal*X24*Calibration!AM24*nSD</f>
        <v>0</v>
      </c>
      <c r="BY24" s="86">
        <f>10*LOG10(($O24+NseMeas!T_0+BX24)/($O24+NseMeas!T_0))</f>
        <v>0</v>
      </c>
      <c r="BZ24" s="168">
        <f>UseUserCal*X24*Calibration!AP24*nSD</f>
        <v>0.45096991767149253</v>
      </c>
      <c r="CA24" s="86">
        <f>10*LOG10(($O24+NseMeas!T_0+BZ24)/($O24+NseMeas!T_0))</f>
        <v>2.6878157133072068E-3</v>
      </c>
      <c r="CB24" s="4">
        <f t="shared" si="37"/>
        <v>31.961046469368494</v>
      </c>
      <c r="CC24" s="86">
        <f>10*LOG10(($O24+NseMeas!T_0+CB24)/($O24+NseMeas!T_0))</f>
        <v>0.18648743129054057</v>
      </c>
    </row>
    <row r="25" spans="1:81">
      <c r="A25" s="4">
        <f t="shared" si="38"/>
        <v>10.660000000000005</v>
      </c>
      <c r="B25" s="164">
        <f>T_0*(1+10^('Meas. Noise Std'!AA26/10))</f>
        <v>1207.0605214488303</v>
      </c>
      <c r="C25" s="164">
        <f t="shared" si="0"/>
        <v>298</v>
      </c>
      <c r="D25" s="86">
        <f t="shared" si="1"/>
        <v>298</v>
      </c>
      <c r="E25" s="164">
        <f>IF(UsePreamp,T_0*(10^(Preamp!AE26/10)-1),0)</f>
        <v>438.4470651377784</v>
      </c>
      <c r="F25" s="164">
        <f>T_0*(10^((FieldFox!B25-kT0dB)/10)-1)</f>
        <v>5463.5001790836332</v>
      </c>
      <c r="G25" s="86">
        <f>IF(UsePreamp,10^(Preamp!AD26/10),1)</f>
        <v>77.11875327214382</v>
      </c>
      <c r="H25" s="86">
        <f>T_0*(10^(DUT!AE26/10)-1)</f>
        <v>438.4470651377784</v>
      </c>
      <c r="I25" s="86">
        <f>10^(DUT!AD26/10)</f>
        <v>100</v>
      </c>
      <c r="J25" s="87">
        <f t="shared" si="2"/>
        <v>6.2739067604882285E-7</v>
      </c>
      <c r="K25" s="87">
        <f t="shared" si="3"/>
        <v>2.8185819158043458E-7</v>
      </c>
      <c r="L25" s="87">
        <f t="shared" si="4"/>
        <v>2.8396947915657021E-10</v>
      </c>
      <c r="M25" s="87">
        <f>IF(UseUserCal,Calibration!M25,0)</f>
        <v>1.6665304470980419E-9</v>
      </c>
      <c r="N25" s="87">
        <f>IF(UseUserCal,Calibration!L25,1)</f>
        <v>77.11875327214382</v>
      </c>
      <c r="O25" s="165">
        <f t="shared" si="5"/>
        <v>438.44706513777857</v>
      </c>
      <c r="P25" s="86">
        <f t="shared" si="6"/>
        <v>99.999999999999986</v>
      </c>
      <c r="Q25" s="170">
        <f t="shared" si="7"/>
        <v>4.5880181906392397E-7</v>
      </c>
      <c r="R25" s="87">
        <f t="shared" si="8"/>
        <v>1.6665304470980422E-7</v>
      </c>
      <c r="S25" s="87">
        <f t="shared" si="39"/>
        <v>4762125180.2553024</v>
      </c>
      <c r="T25" s="87">
        <f t="shared" si="9"/>
        <v>2131227761.6017535</v>
      </c>
      <c r="U25" s="87">
        <f t="shared" si="10"/>
        <v>0.81007634371866966</v>
      </c>
      <c r="V25" s="87">
        <f t="shared" si="11"/>
        <v>-1.8100763437186695</v>
      </c>
      <c r="W25" s="87">
        <f t="shared" si="12"/>
        <v>1.2967014605009332E-4</v>
      </c>
      <c r="X25" s="87">
        <f t="shared" si="40"/>
        <v>2630897418.6535492</v>
      </c>
      <c r="Y25" s="86">
        <f>FieldFox!AG25</f>
        <v>0.1</v>
      </c>
      <c r="Z25" s="86">
        <f>FieldFox!AF25</f>
        <v>0.1</v>
      </c>
      <c r="AA25" s="86">
        <f>FieldFox!AH25</f>
        <v>0.1</v>
      </c>
      <c r="AB25" s="87">
        <f t="shared" si="41"/>
        <v>1.3389238540091567E-3</v>
      </c>
      <c r="AC25" s="87">
        <f t="shared" si="13"/>
        <v>1.3389238540091567E-3</v>
      </c>
      <c r="AD25" s="87">
        <f t="shared" si="14"/>
        <v>1.3389238540091567E-3</v>
      </c>
      <c r="AE25" s="87">
        <f>DUT!AF26</f>
        <v>0.2</v>
      </c>
      <c r="AF25" s="4">
        <f t="shared" si="42"/>
        <v>0.40853898265363492</v>
      </c>
      <c r="AG25" s="4">
        <f>'Meas. Noise Std'!AC26</f>
        <v>0.1</v>
      </c>
      <c r="AH25" s="4">
        <f>'Meas. Noise Std'!AD26</f>
        <v>1</v>
      </c>
      <c r="AI25" s="4">
        <f>DUT!AH26</f>
        <v>0</v>
      </c>
      <c r="AJ25" s="166">
        <f t="shared" si="15"/>
        <v>1.6341559306145403E-2</v>
      </c>
      <c r="AK25" s="166">
        <f t="shared" si="16"/>
        <v>0</v>
      </c>
      <c r="AL25" s="163">
        <f t="shared" si="43"/>
        <v>1.6341559306145403E-2</v>
      </c>
      <c r="AM25" s="4">
        <f t="shared" si="17"/>
        <v>0</v>
      </c>
      <c r="AN25" s="4">
        <f>DUT!AG26</f>
        <v>0.31622776601683794</v>
      </c>
      <c r="AO25" s="4">
        <f>IF(AND(UsePreamp,UseUserCal),Preamp!AF26,0)</f>
        <v>0.3981071705534972</v>
      </c>
      <c r="AP25" s="4">
        <f t="shared" si="44"/>
        <v>0.40853898265363492</v>
      </c>
      <c r="AQ25" s="88">
        <f t="shared" si="18"/>
        <v>1.7971624979677261</v>
      </c>
      <c r="AR25" s="88">
        <f t="shared" si="19"/>
        <v>0</v>
      </c>
      <c r="AS25" s="88">
        <f t="shared" si="45"/>
        <v>1.7971624979677261</v>
      </c>
      <c r="AT25" s="88">
        <f t="shared" si="20"/>
        <v>1.7902917228848356</v>
      </c>
      <c r="AU25" s="88">
        <f t="shared" si="21"/>
        <v>15.978959287884381</v>
      </c>
      <c r="AV25" s="88">
        <f t="shared" si="46"/>
        <v>16.078939155830415</v>
      </c>
      <c r="AW25" s="88">
        <f>X25*Calibration!AT25*UseUserCal</f>
        <v>0.22842423405381551</v>
      </c>
      <c r="AX25" s="88">
        <f t="shared" si="22"/>
        <v>1.000302740557862E-3</v>
      </c>
      <c r="AY25" s="167">
        <f t="shared" si="47"/>
        <v>0.22842642427846446</v>
      </c>
      <c r="AZ25" s="88">
        <f>U25*B25*(10^('Meas. Noise Std'!AB26/(ENRconf*10))-1)</f>
        <v>11.322519762557635</v>
      </c>
      <c r="BA25" s="88">
        <f t="shared" si="23"/>
        <v>0</v>
      </c>
      <c r="BB25" s="88">
        <f t="shared" si="24"/>
        <v>0</v>
      </c>
      <c r="BC25" s="88">
        <f t="shared" si="48"/>
        <v>0</v>
      </c>
      <c r="BD25" s="88">
        <f t="shared" si="25"/>
        <v>19.748764767088979</v>
      </c>
      <c r="BE25" s="4">
        <f t="shared" si="26"/>
        <v>39.497529534177957</v>
      </c>
      <c r="BF25" s="4">
        <f t="shared" si="27"/>
        <v>0.22931889976003644</v>
      </c>
      <c r="BG25" s="88">
        <f t="shared" si="28"/>
        <v>477.94459467195651</v>
      </c>
      <c r="BH25" s="88">
        <f t="shared" si="29"/>
        <v>398.94953560360062</v>
      </c>
      <c r="BI25" s="86">
        <f t="shared" si="30"/>
        <v>5.0734361128281185</v>
      </c>
      <c r="BJ25" s="86">
        <f>10*LOG10(($O25+NseMeas!T_0+BI25)/($O25+NseMeas!T_0))</f>
        <v>3.0142585974355603E-2</v>
      </c>
      <c r="BK25" s="86">
        <f t="shared" si="31"/>
        <v>31.957918575768762</v>
      </c>
      <c r="BL25" s="86">
        <f>10*LOG10(($O25+NseMeas!T_0+BK25)/($O25+NseMeas!T_0))</f>
        <v>0.18646956680825127</v>
      </c>
      <c r="BM25" s="86">
        <f t="shared" si="32"/>
        <v>22.645039525115269</v>
      </c>
      <c r="BN25" s="86">
        <f>10*LOG10(($O25+NseMeas!T_0+BM25)/($O25+NseMeas!T_0))</f>
        <v>0.13295198884393838</v>
      </c>
      <c r="BO25" s="86">
        <f t="shared" si="33"/>
        <v>0.45684846810763102</v>
      </c>
      <c r="BP25" s="86">
        <f>10*LOG10(($O25+NseMeas!T_0+BO25)/($O25+NseMeas!T_0))</f>
        <v>2.7228413492434763E-3</v>
      </c>
      <c r="BQ25" s="86">
        <f t="shared" si="34"/>
        <v>0</v>
      </c>
      <c r="BR25" s="86">
        <f>10*LOG10(($O25+NseMeas!T_0+BQ25)/($O25+NseMeas!T_0))</f>
        <v>0</v>
      </c>
      <c r="BT25" s="86">
        <f t="shared" si="35"/>
        <v>0</v>
      </c>
      <c r="BU25" s="86">
        <f>10*LOG10(($O25+NseMeas!T_0+BT25)/($O25+NseMeas!T_0))</f>
        <v>0</v>
      </c>
      <c r="BV25" s="86">
        <f t="shared" si="36"/>
        <v>31.957918575768762</v>
      </c>
      <c r="BW25" s="86">
        <f>10*LOG10(($O25+NseMeas!T_0+BV25)/($O25+NseMeas!T_0))</f>
        <v>0.18646956680825127</v>
      </c>
      <c r="BX25" s="175">
        <f>UseUserCal*X25*Calibration!AM25*nSD</f>
        <v>0</v>
      </c>
      <c r="BY25" s="86">
        <f>10*LOG10(($O25+NseMeas!T_0+BX25)/($O25+NseMeas!T_0))</f>
        <v>0</v>
      </c>
      <c r="BZ25" s="168">
        <f>UseUserCal*X25*Calibration!AP25*nSD</f>
        <v>0.4509699176714928</v>
      </c>
      <c r="CA25" s="86">
        <f>10*LOG10(($O25+NseMeas!T_0+BZ25)/($O25+NseMeas!T_0))</f>
        <v>2.6878157133072068E-3</v>
      </c>
      <c r="CB25" s="4">
        <f t="shared" si="37"/>
        <v>31.96110031838877</v>
      </c>
      <c r="CC25" s="86">
        <f>10*LOG10(($O25+NseMeas!T_0+CB25)/($O25+NseMeas!T_0))</f>
        <v>0.18648773884027778</v>
      </c>
    </row>
    <row r="26" spans="1:81">
      <c r="A26" s="4">
        <f t="shared" si="38"/>
        <v>11.188000000000006</v>
      </c>
      <c r="B26" s="164">
        <f>T_0*(1+10^('Meas. Noise Std'!AA27/10))</f>
        <v>1207.0605214488303</v>
      </c>
      <c r="C26" s="164">
        <f t="shared" si="0"/>
        <v>298</v>
      </c>
      <c r="D26" s="86">
        <f t="shared" si="1"/>
        <v>298</v>
      </c>
      <c r="E26" s="164">
        <f>IF(UsePreamp,T_0*(10^(Preamp!AE27/10)-1),0)</f>
        <v>438.4470651377784</v>
      </c>
      <c r="F26" s="164">
        <f>T_0*(10^((FieldFox!B26-kT0dB)/10)-1)</f>
        <v>5463.5001790836332</v>
      </c>
      <c r="G26" s="86">
        <f>IF(UsePreamp,10^(Preamp!AD27/10),1)</f>
        <v>79.595405572911815</v>
      </c>
      <c r="H26" s="86">
        <f>T_0*(10^(DUT!AE27/10)-1)</f>
        <v>438.4470651377784</v>
      </c>
      <c r="I26" s="86">
        <f>10^(DUT!AD27/10)</f>
        <v>100</v>
      </c>
      <c r="J26" s="87">
        <f t="shared" si="2"/>
        <v>6.4753054576866789E-7</v>
      </c>
      <c r="K26" s="87">
        <f t="shared" si="3"/>
        <v>2.9090135931355497E-7</v>
      </c>
      <c r="L26" s="87">
        <f t="shared" si="4"/>
        <v>2.8396947915657021E-10</v>
      </c>
      <c r="M26" s="87">
        <f>IF(UseUserCal,Calibration!M26,0)</f>
        <v>1.720050716694986E-9</v>
      </c>
      <c r="N26" s="87">
        <f>IF(UseUserCal,Calibration!L26,1)</f>
        <v>79.595405572911801</v>
      </c>
      <c r="O26" s="165">
        <f t="shared" si="5"/>
        <v>438.44706513777822</v>
      </c>
      <c r="P26" s="86">
        <f t="shared" si="6"/>
        <v>100.00000000000006</v>
      </c>
      <c r="Q26" s="170">
        <f t="shared" si="7"/>
        <v>4.7353614155447769E-7</v>
      </c>
      <c r="R26" s="87">
        <f t="shared" si="8"/>
        <v>1.7200507166949855E-7</v>
      </c>
      <c r="S26" s="87">
        <f t="shared" si="39"/>
        <v>4613952558.3860941</v>
      </c>
      <c r="T26" s="87">
        <f t="shared" si="9"/>
        <v>2064916876.5764422</v>
      </c>
      <c r="U26" s="87">
        <f t="shared" si="10"/>
        <v>0.81007766635517764</v>
      </c>
      <c r="V26" s="87">
        <f t="shared" si="11"/>
        <v>-1.8100776663551779</v>
      </c>
      <c r="W26" s="87">
        <f t="shared" si="12"/>
        <v>1.2563539224433868E-4</v>
      </c>
      <c r="X26" s="87">
        <f t="shared" si="40"/>
        <v>2549035681.8096519</v>
      </c>
      <c r="Y26" s="86">
        <f>FieldFox!AG26</f>
        <v>0.1</v>
      </c>
      <c r="Z26" s="86">
        <f>FieldFox!AF26</f>
        <v>0.1</v>
      </c>
      <c r="AA26" s="86">
        <f>FieldFox!AH26</f>
        <v>0.1</v>
      </c>
      <c r="AB26" s="87">
        <f t="shared" si="41"/>
        <v>1.3389238540091567E-3</v>
      </c>
      <c r="AC26" s="87">
        <f t="shared" si="13"/>
        <v>1.3389238540091567E-3</v>
      </c>
      <c r="AD26" s="87">
        <f t="shared" si="14"/>
        <v>1.3389238540091567E-3</v>
      </c>
      <c r="AE26" s="87">
        <f>DUT!AF27</f>
        <v>0.2</v>
      </c>
      <c r="AF26" s="4">
        <f t="shared" si="42"/>
        <v>0.40853898265363492</v>
      </c>
      <c r="AG26" s="4">
        <f>'Meas. Noise Std'!AC27</f>
        <v>0.1</v>
      </c>
      <c r="AH26" s="4">
        <f>'Meas. Noise Std'!AD27</f>
        <v>1</v>
      </c>
      <c r="AI26" s="4">
        <f>DUT!AH27</f>
        <v>0</v>
      </c>
      <c r="AJ26" s="166">
        <f t="shared" si="15"/>
        <v>1.6341559306145403E-2</v>
      </c>
      <c r="AK26" s="166">
        <f t="shared" si="16"/>
        <v>0</v>
      </c>
      <c r="AL26" s="163">
        <f t="shared" si="43"/>
        <v>1.6341559306145403E-2</v>
      </c>
      <c r="AM26" s="4">
        <f t="shared" si="17"/>
        <v>0</v>
      </c>
      <c r="AN26" s="4">
        <f>DUT!AG27</f>
        <v>0.31622776601683794</v>
      </c>
      <c r="AO26" s="4">
        <f>IF(AND(UsePreamp,UseUserCal),Preamp!AF27,0)</f>
        <v>0.3981071705534972</v>
      </c>
      <c r="AP26" s="4">
        <f t="shared" si="44"/>
        <v>0.40853898265363492</v>
      </c>
      <c r="AQ26" s="88">
        <f t="shared" si="18"/>
        <v>1.7971103865912188</v>
      </c>
      <c r="AR26" s="88">
        <f t="shared" si="19"/>
        <v>0</v>
      </c>
      <c r="AS26" s="88">
        <f t="shared" si="45"/>
        <v>1.7971103865912188</v>
      </c>
      <c r="AT26" s="88">
        <f t="shared" si="20"/>
        <v>1.7902707364465835</v>
      </c>
      <c r="AU26" s="88">
        <f t="shared" si="21"/>
        <v>15.978985377221607</v>
      </c>
      <c r="AV26" s="88">
        <f t="shared" si="46"/>
        <v>16.078962746248244</v>
      </c>
      <c r="AW26" s="88">
        <f>X26*Calibration!AT26*UseUserCal</f>
        <v>0.228424190562551</v>
      </c>
      <c r="AX26" s="88">
        <f t="shared" si="22"/>
        <v>9.691778023025021E-4</v>
      </c>
      <c r="AY26" s="167">
        <f t="shared" si="47"/>
        <v>0.2284262466087667</v>
      </c>
      <c r="AZ26" s="88">
        <f>U26*B26*(10^('Meas. Noise Std'!AB27/(ENRconf*10))-1)</f>
        <v>11.322538249183143</v>
      </c>
      <c r="BA26" s="88">
        <f t="shared" si="23"/>
        <v>0</v>
      </c>
      <c r="BB26" s="88">
        <f t="shared" si="24"/>
        <v>0</v>
      </c>
      <c r="BC26" s="88">
        <f t="shared" si="48"/>
        <v>0</v>
      </c>
      <c r="BD26" s="88">
        <f t="shared" si="25"/>
        <v>19.748789828523368</v>
      </c>
      <c r="BE26" s="4">
        <f t="shared" si="26"/>
        <v>39.497579657046735</v>
      </c>
      <c r="BF26" s="4">
        <f t="shared" si="27"/>
        <v>0.22931918321908804</v>
      </c>
      <c r="BG26" s="88">
        <f t="shared" si="28"/>
        <v>477.94464479482497</v>
      </c>
      <c r="BH26" s="88">
        <f t="shared" si="29"/>
        <v>398.94948548073148</v>
      </c>
      <c r="BI26" s="86">
        <f t="shared" si="30"/>
        <v>5.0733326288256109</v>
      </c>
      <c r="BJ26" s="86">
        <f>10*LOG10(($O26+NseMeas!T_0+BI26)/($O26+NseMeas!T_0))</f>
        <v>3.0141973277992194E-2</v>
      </c>
      <c r="BK26" s="86">
        <f t="shared" si="31"/>
        <v>31.957970754443213</v>
      </c>
      <c r="BL26" s="86">
        <f>10*LOG10(($O26+NseMeas!T_0+BK26)/($O26+NseMeas!T_0))</f>
        <v>0.18646986481931205</v>
      </c>
      <c r="BM26" s="86">
        <f t="shared" si="32"/>
        <v>22.645076498366286</v>
      </c>
      <c r="BN26" s="86">
        <f>10*LOG10(($O26+NseMeas!T_0+BM26)/($O26+NseMeas!T_0))</f>
        <v>0.13295220262968283</v>
      </c>
      <c r="BO26" s="86">
        <f t="shared" si="33"/>
        <v>0.45684838112510201</v>
      </c>
      <c r="BP26" s="86">
        <f>10*LOG10(($O26+NseMeas!T_0+BO26)/($O26+NseMeas!T_0))</f>
        <v>2.7228408309859795E-3</v>
      </c>
      <c r="BQ26" s="86">
        <f t="shared" si="34"/>
        <v>0</v>
      </c>
      <c r="BR26" s="86">
        <f>10*LOG10(($O26+NseMeas!T_0+BQ26)/($O26+NseMeas!T_0))</f>
        <v>0</v>
      </c>
      <c r="BT26" s="86">
        <f t="shared" si="35"/>
        <v>0</v>
      </c>
      <c r="BU26" s="86">
        <f>10*LOG10(($O26+NseMeas!T_0+BT26)/($O26+NseMeas!T_0))</f>
        <v>0</v>
      </c>
      <c r="BV26" s="86">
        <f t="shared" si="36"/>
        <v>31.957970754443213</v>
      </c>
      <c r="BW26" s="86">
        <f>10*LOG10(($O26+NseMeas!T_0+BV26)/($O26+NseMeas!T_0))</f>
        <v>0.18646986481931205</v>
      </c>
      <c r="BX26" s="175">
        <f>UseUserCal*X26*Calibration!AM26*nSD</f>
        <v>0</v>
      </c>
      <c r="BY26" s="86">
        <f>10*LOG10(($O26+NseMeas!T_0+BX26)/($O26+NseMeas!T_0))</f>
        <v>0</v>
      </c>
      <c r="BZ26" s="168">
        <f>UseUserCal*X26*Calibration!AP26*nSD</f>
        <v>0.45096991767149258</v>
      </c>
      <c r="CA26" s="86">
        <f>10*LOG10(($O26+NseMeas!T_0+BZ26)/($O26+NseMeas!T_0))</f>
        <v>2.6878157133072068E-3</v>
      </c>
      <c r="CB26" s="4">
        <f t="shared" si="37"/>
        <v>31.961152491868816</v>
      </c>
      <c r="CC26" s="86">
        <f>10*LOG10(($O26+NseMeas!T_0+CB26)/($O26+NseMeas!T_0))</f>
        <v>0.18648803682042578</v>
      </c>
    </row>
    <row r="27" spans="1:81">
      <c r="A27" s="4">
        <f t="shared" si="38"/>
        <v>11.716000000000006</v>
      </c>
      <c r="B27" s="164">
        <f>T_0*(1+10^('Meas. Noise Std'!AA28/10))</f>
        <v>1207.0605214488303</v>
      </c>
      <c r="C27" s="164">
        <f t="shared" si="0"/>
        <v>298</v>
      </c>
      <c r="D27" s="86">
        <f t="shared" si="1"/>
        <v>298</v>
      </c>
      <c r="E27" s="164">
        <f>IF(UsePreamp,T_0*(10^(Preamp!AE28/10)-1),0)</f>
        <v>438.4470651377784</v>
      </c>
      <c r="F27" s="164">
        <f>T_0*(10^((FieldFox!B27-kT0dB)/10)-1)</f>
        <v>5463.5001790836332</v>
      </c>
      <c r="G27" s="86">
        <f>IF(UsePreamp,10^(Preamp!AD28/10),1)</f>
        <v>82.151595033691308</v>
      </c>
      <c r="H27" s="86">
        <f>T_0*(10^(DUT!AE28/10)-1)</f>
        <v>438.4470651377784</v>
      </c>
      <c r="I27" s="86">
        <f>10^(DUT!AD28/10)</f>
        <v>100</v>
      </c>
      <c r="J27" s="87">
        <f t="shared" si="2"/>
        <v>6.6831720310582232E-7</v>
      </c>
      <c r="K27" s="87">
        <f t="shared" si="3"/>
        <v>3.0023494644821069E-7</v>
      </c>
      <c r="L27" s="87">
        <f t="shared" si="4"/>
        <v>2.8396947915657021E-10</v>
      </c>
      <c r="M27" s="87">
        <f>IF(UseUserCal,Calibration!M27,0)</f>
        <v>1.7752897783264313E-9</v>
      </c>
      <c r="N27" s="87">
        <f>IF(UseUserCal,Calibration!L27,1)</f>
        <v>82.151595033691294</v>
      </c>
      <c r="O27" s="165">
        <f t="shared" si="5"/>
        <v>438.4470651377784</v>
      </c>
      <c r="P27" s="86">
        <f t="shared" si="6"/>
        <v>100.00000000000003</v>
      </c>
      <c r="Q27" s="170">
        <f t="shared" si="7"/>
        <v>4.8874365366685627E-7</v>
      </c>
      <c r="R27" s="87">
        <f t="shared" si="8"/>
        <v>1.7752897783264305E-7</v>
      </c>
      <c r="S27" s="87">
        <f t="shared" si="39"/>
        <v>4470390197.9035454</v>
      </c>
      <c r="T27" s="87">
        <f t="shared" si="9"/>
        <v>2000669082.5648239</v>
      </c>
      <c r="U27" s="87">
        <f t="shared" si="10"/>
        <v>0.81007894783716594</v>
      </c>
      <c r="V27" s="87">
        <f t="shared" si="11"/>
        <v>-1.8100789478371657</v>
      </c>
      <c r="W27" s="87">
        <f t="shared" si="12"/>
        <v>1.2172618189456803E-4</v>
      </c>
      <c r="X27" s="87">
        <f t="shared" si="40"/>
        <v>2469721115.3387218</v>
      </c>
      <c r="Y27" s="86">
        <f>FieldFox!AG27</f>
        <v>0.1</v>
      </c>
      <c r="Z27" s="86">
        <f>FieldFox!AF27</f>
        <v>0.1</v>
      </c>
      <c r="AA27" s="86">
        <f>FieldFox!AH27</f>
        <v>0.1</v>
      </c>
      <c r="AB27" s="87">
        <f t="shared" si="41"/>
        <v>1.3389238540091567E-3</v>
      </c>
      <c r="AC27" s="87">
        <f t="shared" si="13"/>
        <v>1.3389238540091567E-3</v>
      </c>
      <c r="AD27" s="87">
        <f t="shared" si="14"/>
        <v>1.3389238540091567E-3</v>
      </c>
      <c r="AE27" s="87">
        <f>DUT!AF28</f>
        <v>0.2</v>
      </c>
      <c r="AF27" s="4">
        <f t="shared" si="42"/>
        <v>0.40853898265363492</v>
      </c>
      <c r="AG27" s="4">
        <f>'Meas. Noise Std'!AC28</f>
        <v>0.1</v>
      </c>
      <c r="AH27" s="4">
        <f>'Meas. Noise Std'!AD28</f>
        <v>1</v>
      </c>
      <c r="AI27" s="4">
        <f>DUT!AH28</f>
        <v>0</v>
      </c>
      <c r="AJ27" s="166">
        <f t="shared" si="15"/>
        <v>1.6341559306145403E-2</v>
      </c>
      <c r="AK27" s="166">
        <f t="shared" si="16"/>
        <v>0</v>
      </c>
      <c r="AL27" s="163">
        <f t="shared" si="43"/>
        <v>1.6341559306145403E-2</v>
      </c>
      <c r="AM27" s="4">
        <f t="shared" si="17"/>
        <v>0</v>
      </c>
      <c r="AN27" s="4">
        <f>DUT!AG28</f>
        <v>0.31622776601683794</v>
      </c>
      <c r="AO27" s="4">
        <f>IF(AND(UsePreamp,UseUserCal),Preamp!AF28,0)</f>
        <v>0.3981071705534972</v>
      </c>
      <c r="AP27" s="4">
        <f t="shared" si="44"/>
        <v>0.40853898265363492</v>
      </c>
      <c r="AQ27" s="88">
        <f t="shared" si="18"/>
        <v>1.7970598966127351</v>
      </c>
      <c r="AR27" s="88">
        <f t="shared" si="19"/>
        <v>0</v>
      </c>
      <c r="AS27" s="88">
        <f t="shared" si="45"/>
        <v>1.7970598966127351</v>
      </c>
      <c r="AT27" s="88">
        <f t="shared" si="20"/>
        <v>1.7902504029377686</v>
      </c>
      <c r="AU27" s="88">
        <f t="shared" si="21"/>
        <v>15.979010654775605</v>
      </c>
      <c r="AV27" s="88">
        <f t="shared" si="46"/>
        <v>16.07898560266322</v>
      </c>
      <c r="AW27" s="88">
        <f>X27*Calibration!AT27*UseUserCal</f>
        <v>0.22842414858223845</v>
      </c>
      <c r="AX27" s="88">
        <f t="shared" si="22"/>
        <v>9.3902133263382376E-4</v>
      </c>
      <c r="AY27" s="167">
        <f t="shared" si="47"/>
        <v>0.22842607867006712</v>
      </c>
      <c r="AZ27" s="88">
        <f>U27*B27*(10^('Meas. Noise Std'!AB28/(ENRconf*10))-1)</f>
        <v>11.322556160587729</v>
      </c>
      <c r="BA27" s="88">
        <f t="shared" si="23"/>
        <v>0</v>
      </c>
      <c r="BB27" s="88">
        <f t="shared" si="24"/>
        <v>0</v>
      </c>
      <c r="BC27" s="88">
        <f t="shared" si="48"/>
        <v>0</v>
      </c>
      <c r="BD27" s="88">
        <f t="shared" si="25"/>
        <v>19.748814110364819</v>
      </c>
      <c r="BE27" s="4">
        <f t="shared" si="26"/>
        <v>39.497628220729638</v>
      </c>
      <c r="BF27" s="4">
        <f t="shared" si="27"/>
        <v>0.22931945786048286</v>
      </c>
      <c r="BG27" s="88">
        <f t="shared" si="28"/>
        <v>477.94469335850806</v>
      </c>
      <c r="BH27" s="88">
        <f t="shared" si="29"/>
        <v>398.94943691704873</v>
      </c>
      <c r="BI27" s="86">
        <f t="shared" si="30"/>
        <v>5.0732323656594644</v>
      </c>
      <c r="BJ27" s="86">
        <f>10*LOG10(($O27+NseMeas!T_0+BI27)/($O27+NseMeas!T_0))</f>
        <v>3.0141379651108482E-2</v>
      </c>
      <c r="BK27" s="86">
        <f t="shared" si="31"/>
        <v>31.95802130955121</v>
      </c>
      <c r="BL27" s="86">
        <f>10*LOG10(($O27+NseMeas!T_0+BK27)/($O27+NseMeas!T_0))</f>
        <v>0.18647015355758526</v>
      </c>
      <c r="BM27" s="86">
        <f t="shared" si="32"/>
        <v>22.645112321175457</v>
      </c>
      <c r="BN27" s="86">
        <f>10*LOG10(($O27+NseMeas!T_0+BM27)/($O27+NseMeas!T_0))</f>
        <v>0.13295240976336428</v>
      </c>
      <c r="BO27" s="86">
        <f t="shared" si="33"/>
        <v>0.45684829716447689</v>
      </c>
      <c r="BP27" s="86">
        <f>10*LOG10(($O27+NseMeas!T_0+BO27)/($O27+NseMeas!T_0))</f>
        <v>2.7228403307317925E-3</v>
      </c>
      <c r="BQ27" s="86">
        <f t="shared" si="34"/>
        <v>0</v>
      </c>
      <c r="BR27" s="86">
        <f>10*LOG10(($O27+NseMeas!T_0+BQ27)/($O27+NseMeas!T_0))</f>
        <v>0</v>
      </c>
      <c r="BT27" s="86">
        <f t="shared" si="35"/>
        <v>0</v>
      </c>
      <c r="BU27" s="86">
        <f>10*LOG10(($O27+NseMeas!T_0+BT27)/($O27+NseMeas!T_0))</f>
        <v>0</v>
      </c>
      <c r="BV27" s="86">
        <f t="shared" si="36"/>
        <v>31.95802130955121</v>
      </c>
      <c r="BW27" s="86">
        <f>10*LOG10(($O27+NseMeas!T_0+BV27)/($O27+NseMeas!T_0))</f>
        <v>0.18647015355758526</v>
      </c>
      <c r="BX27" s="175">
        <f>UseUserCal*X27*Calibration!AM27*nSD</f>
        <v>0</v>
      </c>
      <c r="BY27" s="86">
        <f>10*LOG10(($O27+NseMeas!T_0+BX27)/($O27+NseMeas!T_0))</f>
        <v>0</v>
      </c>
      <c r="BZ27" s="168">
        <f>UseUserCal*X27*Calibration!AP27*nSD</f>
        <v>0.45096991767149269</v>
      </c>
      <c r="CA27" s="86">
        <f>10*LOG10(($O27+NseMeas!T_0+BZ27)/($O27+NseMeas!T_0))</f>
        <v>2.6878157133072068E-3</v>
      </c>
      <c r="CB27" s="4">
        <f t="shared" si="37"/>
        <v>31.961203041944053</v>
      </c>
      <c r="CC27" s="86">
        <f>10*LOG10(($O27+NseMeas!T_0+CB27)/($O27+NseMeas!T_0))</f>
        <v>0.18648832552874695</v>
      </c>
    </row>
    <row r="28" spans="1:81">
      <c r="A28" s="4">
        <f t="shared" si="38"/>
        <v>12.244000000000007</v>
      </c>
      <c r="B28" s="164">
        <f>T_0*(1+10^('Meas. Noise Std'!AA29/10))</f>
        <v>1207.0605214488303</v>
      </c>
      <c r="C28" s="164">
        <f t="shared" si="0"/>
        <v>298</v>
      </c>
      <c r="D28" s="86">
        <f t="shared" si="1"/>
        <v>298</v>
      </c>
      <c r="E28" s="164">
        <f>IF(UsePreamp,T_0*(10^(Preamp!AE29/10)-1),0)</f>
        <v>438.4470651377784</v>
      </c>
      <c r="F28" s="164">
        <f>T_0*(10^((FieldFox!B28-kT0dB)/10)-1)</f>
        <v>5463.5001790836332</v>
      </c>
      <c r="G28" s="86">
        <f>IF(UsePreamp,10^(Preamp!AD29/10),1)</f>
        <v>84.789875973399447</v>
      </c>
      <c r="H28" s="86">
        <f>T_0*(10^(DUT!AE29/10)-1)</f>
        <v>438.4470651377784</v>
      </c>
      <c r="I28" s="86">
        <f>10^(DUT!AD29/10)</f>
        <v>100</v>
      </c>
      <c r="J28" s="87">
        <f t="shared" si="2"/>
        <v>6.8977141950656427E-7</v>
      </c>
      <c r="K28" s="87">
        <f t="shared" si="3"/>
        <v>3.0986827974149414E-7</v>
      </c>
      <c r="L28" s="87">
        <f t="shared" si="4"/>
        <v>2.8396947915657021E-10</v>
      </c>
      <c r="M28" s="87">
        <f>IF(UseUserCal,Calibration!M28,0)</f>
        <v>1.8323028306317015E-9</v>
      </c>
      <c r="N28" s="87">
        <f>IF(UseUserCal,Calibration!L28,1)</f>
        <v>84.789875973399461</v>
      </c>
      <c r="O28" s="165">
        <f t="shared" si="5"/>
        <v>438.44706513777851</v>
      </c>
      <c r="P28" s="86">
        <f t="shared" si="6"/>
        <v>99.999999999999986</v>
      </c>
      <c r="Q28" s="170">
        <f t="shared" si="7"/>
        <v>5.0443955178476575E-7</v>
      </c>
      <c r="R28" s="87">
        <f t="shared" si="8"/>
        <v>1.8323028306317018E-7</v>
      </c>
      <c r="S28" s="87">
        <f t="shared" si="39"/>
        <v>4331294660.7884874</v>
      </c>
      <c r="T28" s="87">
        <f t="shared" si="9"/>
        <v>1938420198.0741549</v>
      </c>
      <c r="U28" s="87">
        <f t="shared" si="10"/>
        <v>0.81008018944517779</v>
      </c>
      <c r="V28" s="87">
        <f t="shared" si="11"/>
        <v>-1.8100801894451777</v>
      </c>
      <c r="W28" s="87">
        <f t="shared" si="12"/>
        <v>1.1793860865107567E-4</v>
      </c>
      <c r="X28" s="87">
        <f t="shared" si="40"/>
        <v>2392874462.7143331</v>
      </c>
      <c r="Y28" s="86">
        <f>FieldFox!AG28</f>
        <v>0.1</v>
      </c>
      <c r="Z28" s="86">
        <f>FieldFox!AF28</f>
        <v>0.1</v>
      </c>
      <c r="AA28" s="86">
        <f>FieldFox!AH28</f>
        <v>0.1</v>
      </c>
      <c r="AB28" s="87">
        <f t="shared" si="41"/>
        <v>1.3389238540091567E-3</v>
      </c>
      <c r="AC28" s="87">
        <f t="shared" si="13"/>
        <v>1.3389238540091567E-3</v>
      </c>
      <c r="AD28" s="87">
        <f t="shared" si="14"/>
        <v>1.3389238540091567E-3</v>
      </c>
      <c r="AE28" s="87">
        <f>DUT!AF29</f>
        <v>0.2</v>
      </c>
      <c r="AF28" s="4">
        <f t="shared" si="42"/>
        <v>0.40853898265363492</v>
      </c>
      <c r="AG28" s="4">
        <f>'Meas. Noise Std'!AC29</f>
        <v>0.1</v>
      </c>
      <c r="AH28" s="4">
        <f>'Meas. Noise Std'!AD29</f>
        <v>1</v>
      </c>
      <c r="AI28" s="4">
        <f>DUT!AH29</f>
        <v>0</v>
      </c>
      <c r="AJ28" s="166">
        <f t="shared" si="15"/>
        <v>1.6341559306145403E-2</v>
      </c>
      <c r="AK28" s="166">
        <f t="shared" si="16"/>
        <v>0</v>
      </c>
      <c r="AL28" s="163">
        <f t="shared" si="43"/>
        <v>1.6341559306145403E-2</v>
      </c>
      <c r="AM28" s="4">
        <f t="shared" si="17"/>
        <v>0</v>
      </c>
      <c r="AN28" s="4">
        <f>DUT!AG29</f>
        <v>0.31622776601683794</v>
      </c>
      <c r="AO28" s="4">
        <f>IF(AND(UsePreamp,UseUserCal),Preamp!AF29,0)</f>
        <v>0.3981071705534972</v>
      </c>
      <c r="AP28" s="4">
        <f t="shared" si="44"/>
        <v>0.40853898265363492</v>
      </c>
      <c r="AQ28" s="88">
        <f t="shared" si="18"/>
        <v>1.7970109775861949</v>
      </c>
      <c r="AR28" s="88">
        <f t="shared" si="19"/>
        <v>0</v>
      </c>
      <c r="AS28" s="88">
        <f t="shared" si="45"/>
        <v>1.7970109775861949</v>
      </c>
      <c r="AT28" s="88">
        <f t="shared" si="20"/>
        <v>1.7902307020467125</v>
      </c>
      <c r="AU28" s="88">
        <f t="shared" si="21"/>
        <v>15.979035145805403</v>
      </c>
      <c r="AV28" s="88">
        <f t="shared" si="46"/>
        <v>16.079007747912648</v>
      </c>
      <c r="AW28" s="88">
        <f>X28*Calibration!AT28*UseUserCal</f>
        <v>0.22842410805620239</v>
      </c>
      <c r="AX28" s="88">
        <f t="shared" si="22"/>
        <v>9.0980319714976726E-4</v>
      </c>
      <c r="AY28" s="167">
        <f t="shared" si="47"/>
        <v>0.22842591990211875</v>
      </c>
      <c r="AZ28" s="88">
        <f>U28*B28*(10^('Meas. Noise Std'!AB29/(ENRconf*10))-1)</f>
        <v>11.322573514669674</v>
      </c>
      <c r="BA28" s="88">
        <f t="shared" si="23"/>
        <v>0</v>
      </c>
      <c r="BB28" s="88">
        <f t="shared" si="24"/>
        <v>0</v>
      </c>
      <c r="BC28" s="88">
        <f t="shared" si="48"/>
        <v>0</v>
      </c>
      <c r="BD28" s="88">
        <f t="shared" si="25"/>
        <v>19.748837636858088</v>
      </c>
      <c r="BE28" s="4">
        <f t="shared" si="26"/>
        <v>39.497675273716176</v>
      </c>
      <c r="BF28" s="4">
        <f t="shared" si="27"/>
        <v>0.22931972395844463</v>
      </c>
      <c r="BG28" s="88">
        <f t="shared" si="28"/>
        <v>477.94474041149471</v>
      </c>
      <c r="BH28" s="88">
        <f t="shared" si="29"/>
        <v>398.94938986406231</v>
      </c>
      <c r="BI28" s="86">
        <f t="shared" si="30"/>
        <v>5.0731352230579523</v>
      </c>
      <c r="BJ28" s="86">
        <f>10*LOG10(($O28+NseMeas!T_0+BI28)/($O28+NseMeas!T_0))</f>
        <v>3.0140804500036127E-2</v>
      </c>
      <c r="BK28" s="86">
        <f t="shared" si="31"/>
        <v>31.958070291610806</v>
      </c>
      <c r="BL28" s="86">
        <f>10*LOG10(($O28+NseMeas!T_0+BK28)/($O28+NseMeas!T_0))</f>
        <v>0.18647043331160013</v>
      </c>
      <c r="BM28" s="86">
        <f t="shared" si="32"/>
        <v>22.645147029339348</v>
      </c>
      <c r="BN28" s="86">
        <f>10*LOG10(($O28+NseMeas!T_0+BM28)/($O28+NseMeas!T_0))</f>
        <v>0.13295261045196277</v>
      </c>
      <c r="BO28" s="86">
        <f t="shared" si="33"/>
        <v>0.45684821611240478</v>
      </c>
      <c r="BP28" s="86">
        <f>10*LOG10(($O28+NseMeas!T_0+BO28)/($O28+NseMeas!T_0))</f>
        <v>2.722839847808238E-3</v>
      </c>
      <c r="BQ28" s="86">
        <f t="shared" si="34"/>
        <v>0</v>
      </c>
      <c r="BR28" s="86">
        <f>10*LOG10(($O28+NseMeas!T_0+BQ28)/($O28+NseMeas!T_0))</f>
        <v>0</v>
      </c>
      <c r="BT28" s="86">
        <f t="shared" si="35"/>
        <v>0</v>
      </c>
      <c r="BU28" s="86">
        <f>10*LOG10(($O28+NseMeas!T_0+BT28)/($O28+NseMeas!T_0))</f>
        <v>0</v>
      </c>
      <c r="BV28" s="86">
        <f t="shared" si="36"/>
        <v>31.958070291610806</v>
      </c>
      <c r="BW28" s="86">
        <f>10*LOG10(($O28+NseMeas!T_0+BV28)/($O28+NseMeas!T_0))</f>
        <v>0.18647043331160013</v>
      </c>
      <c r="BX28" s="175">
        <f>UseUserCal*X28*Calibration!AM28*nSD</f>
        <v>0</v>
      </c>
      <c r="BY28" s="86">
        <f>10*LOG10(($O28+NseMeas!T_0+BX28)/($O28+NseMeas!T_0))</f>
        <v>0</v>
      </c>
      <c r="BZ28" s="168">
        <f>UseUserCal*X28*Calibration!AP28*nSD</f>
        <v>0.45096991767149264</v>
      </c>
      <c r="CA28" s="86">
        <f>10*LOG10(($O28+NseMeas!T_0+BZ28)/($O28+NseMeas!T_0))</f>
        <v>2.6878157133072068E-3</v>
      </c>
      <c r="CB28" s="4">
        <f t="shared" si="37"/>
        <v>31.961252019127503</v>
      </c>
      <c r="CC28" s="86">
        <f>10*LOG10(($O28+NseMeas!T_0+CB28)/($O28+NseMeas!T_0))</f>
        <v>0.18648860525374064</v>
      </c>
    </row>
    <row r="29" spans="1:81">
      <c r="A29" s="4">
        <f t="shared" si="38"/>
        <v>12.772000000000007</v>
      </c>
      <c r="B29" s="164">
        <f>T_0*(1+10^('Meas. Noise Std'!AA30/10))</f>
        <v>1207.0605214488303</v>
      </c>
      <c r="C29" s="164">
        <f t="shared" si="0"/>
        <v>298</v>
      </c>
      <c r="D29" s="86">
        <f t="shared" si="1"/>
        <v>298</v>
      </c>
      <c r="E29" s="164">
        <f>IF(UsePreamp,T_0*(10^(Preamp!AE30/10)-1),0)</f>
        <v>438.4470651377784</v>
      </c>
      <c r="F29" s="164">
        <f>T_0*(10^((FieldFox!B29-kT0dB)/10)-1)</f>
        <v>5463.5001790836332</v>
      </c>
      <c r="G29" s="86">
        <f>IF(UsePreamp,10^(Preamp!AD30/10),1)</f>
        <v>87.512884742360001</v>
      </c>
      <c r="H29" s="86">
        <f>T_0*(10^(DUT!AE30/10)-1)</f>
        <v>438.4470651377784</v>
      </c>
      <c r="I29" s="86">
        <f>10^(DUT!AD30/10)</f>
        <v>100</v>
      </c>
      <c r="J29" s="87">
        <f t="shared" si="2"/>
        <v>7.1191463348773359E-7</v>
      </c>
      <c r="K29" s="87">
        <f t="shared" si="3"/>
        <v>3.1981098547731019E-7</v>
      </c>
      <c r="L29" s="87">
        <f t="shared" si="4"/>
        <v>2.8396947915657021E-10</v>
      </c>
      <c r="M29" s="87">
        <f>IF(UseUserCal,Calibration!M29,0)</f>
        <v>1.8911468449426399E-9</v>
      </c>
      <c r="N29" s="87">
        <f>IF(UseUserCal,Calibration!L29,1)</f>
        <v>87.512884742360001</v>
      </c>
      <c r="O29" s="165">
        <f t="shared" si="5"/>
        <v>438.44706513777828</v>
      </c>
      <c r="P29" s="86">
        <f t="shared" si="6"/>
        <v>100.00000000000003</v>
      </c>
      <c r="Q29" s="170">
        <f t="shared" si="7"/>
        <v>5.2063952032053033E-7</v>
      </c>
      <c r="R29" s="87">
        <f t="shared" si="8"/>
        <v>1.8911468449426395E-7</v>
      </c>
      <c r="S29" s="87">
        <f t="shared" si="39"/>
        <v>4196526971.3948903</v>
      </c>
      <c r="T29" s="87">
        <f t="shared" si="9"/>
        <v>1878108037.8769231</v>
      </c>
      <c r="U29" s="87">
        <f t="shared" si="10"/>
        <v>0.81008139241991239</v>
      </c>
      <c r="V29" s="87">
        <f t="shared" si="11"/>
        <v>-1.8100813924199124</v>
      </c>
      <c r="W29" s="87">
        <f t="shared" si="12"/>
        <v>1.1426888771225215E-4</v>
      </c>
      <c r="X29" s="87">
        <f t="shared" si="40"/>
        <v>2318418933.5179672</v>
      </c>
      <c r="Y29" s="86">
        <f>FieldFox!AG29</f>
        <v>0.1</v>
      </c>
      <c r="Z29" s="86">
        <f>FieldFox!AF29</f>
        <v>0.1</v>
      </c>
      <c r="AA29" s="86">
        <f>FieldFox!AH29</f>
        <v>0.1</v>
      </c>
      <c r="AB29" s="87">
        <f t="shared" si="41"/>
        <v>1.3389238540091567E-3</v>
      </c>
      <c r="AC29" s="87">
        <f t="shared" si="13"/>
        <v>1.3389238540091567E-3</v>
      </c>
      <c r="AD29" s="87">
        <f t="shared" si="14"/>
        <v>1.3389238540091567E-3</v>
      </c>
      <c r="AE29" s="87">
        <f>DUT!AF30</f>
        <v>0.2</v>
      </c>
      <c r="AF29" s="4">
        <f t="shared" si="42"/>
        <v>0.40853898265363492</v>
      </c>
      <c r="AG29" s="4">
        <f>'Meas. Noise Std'!AC30</f>
        <v>0.1</v>
      </c>
      <c r="AH29" s="4">
        <f>'Meas. Noise Std'!AD30</f>
        <v>1</v>
      </c>
      <c r="AI29" s="4">
        <f>DUT!AH30</f>
        <v>0</v>
      </c>
      <c r="AJ29" s="166">
        <f t="shared" si="15"/>
        <v>1.6341559306145403E-2</v>
      </c>
      <c r="AK29" s="166">
        <f t="shared" si="16"/>
        <v>0</v>
      </c>
      <c r="AL29" s="163">
        <f t="shared" si="43"/>
        <v>1.6341559306145403E-2</v>
      </c>
      <c r="AM29" s="4">
        <f t="shared" si="17"/>
        <v>0</v>
      </c>
      <c r="AN29" s="4">
        <f>DUT!AG30</f>
        <v>0.31622776601683794</v>
      </c>
      <c r="AO29" s="4">
        <f>IF(AND(UsePreamp,UseUserCal),Preamp!AF30,0)</f>
        <v>0.3981071705534972</v>
      </c>
      <c r="AP29" s="4">
        <f t="shared" si="44"/>
        <v>0.40853898265363492</v>
      </c>
      <c r="AQ29" s="88">
        <f t="shared" si="18"/>
        <v>1.7969635806348956</v>
      </c>
      <c r="AR29" s="88">
        <f t="shared" si="19"/>
        <v>0</v>
      </c>
      <c r="AS29" s="88">
        <f t="shared" si="45"/>
        <v>1.7969635806348956</v>
      </c>
      <c r="AT29" s="88">
        <f t="shared" si="20"/>
        <v>1.790211614093467</v>
      </c>
      <c r="AU29" s="88">
        <f t="shared" si="21"/>
        <v>15.979058874784101</v>
      </c>
      <c r="AV29" s="88">
        <f t="shared" si="46"/>
        <v>16.079029204123355</v>
      </c>
      <c r="AW29" s="88">
        <f>X29*Calibration!AT29*UseUserCal</f>
        <v>0.22842406893012335</v>
      </c>
      <c r="AX29" s="88">
        <f t="shared" si="22"/>
        <v>8.8149419909581527E-4</v>
      </c>
      <c r="AY29" s="167">
        <f t="shared" si="47"/>
        <v>0.22842576977787943</v>
      </c>
      <c r="AZ29" s="88">
        <f>U29*B29*(10^('Meas. Noise Std'!AB30/(ENRconf*10))-1)</f>
        <v>11.32259032877036</v>
      </c>
      <c r="BA29" s="88">
        <f t="shared" si="23"/>
        <v>0</v>
      </c>
      <c r="BB29" s="88">
        <f t="shared" si="24"/>
        <v>0</v>
      </c>
      <c r="BC29" s="88">
        <f t="shared" si="48"/>
        <v>0</v>
      </c>
      <c r="BD29" s="88">
        <f t="shared" si="25"/>
        <v>19.748860431494336</v>
      </c>
      <c r="BE29" s="4">
        <f t="shared" si="26"/>
        <v>39.497720862988672</v>
      </c>
      <c r="BF29" s="4">
        <f t="shared" si="27"/>
        <v>0.22931998177867366</v>
      </c>
      <c r="BG29" s="88">
        <f t="shared" si="28"/>
        <v>477.94478600076695</v>
      </c>
      <c r="BH29" s="88">
        <f t="shared" si="29"/>
        <v>398.94934427478961</v>
      </c>
      <c r="BI29" s="86">
        <f t="shared" si="30"/>
        <v>5.0730411038726446</v>
      </c>
      <c r="BJ29" s="86">
        <f>10*LOG10(($O29+NseMeas!T_0+BI29)/($O29+NseMeas!T_0))</f>
        <v>3.0140247249596713E-2</v>
      </c>
      <c r="BK29" s="86">
        <f t="shared" si="31"/>
        <v>31.958117749568203</v>
      </c>
      <c r="BL29" s="86">
        <f>10*LOG10(($O29+NseMeas!T_0+BK29)/($O29+NseMeas!T_0))</f>
        <v>0.18647070436090454</v>
      </c>
      <c r="BM29" s="86">
        <f t="shared" si="32"/>
        <v>22.64518065754072</v>
      </c>
      <c r="BN29" s="86">
        <f>10*LOG10(($O29+NseMeas!T_0+BM29)/($O29+NseMeas!T_0))</f>
        <v>0.13295280489602457</v>
      </c>
      <c r="BO29" s="86">
        <f t="shared" si="33"/>
        <v>0.45684813786024669</v>
      </c>
      <c r="BP29" s="86">
        <f>10*LOG10(($O29+NseMeas!T_0+BO29)/($O29+NseMeas!T_0))</f>
        <v>2.7228393815676927E-3</v>
      </c>
      <c r="BQ29" s="86">
        <f t="shared" si="34"/>
        <v>0</v>
      </c>
      <c r="BR29" s="86">
        <f>10*LOG10(($O29+NseMeas!T_0+BQ29)/($O29+NseMeas!T_0))</f>
        <v>0</v>
      </c>
      <c r="BT29" s="86">
        <f t="shared" si="35"/>
        <v>0</v>
      </c>
      <c r="BU29" s="86">
        <f>10*LOG10(($O29+NseMeas!T_0+BT29)/($O29+NseMeas!T_0))</f>
        <v>0</v>
      </c>
      <c r="BV29" s="86">
        <f t="shared" si="36"/>
        <v>31.958117749568203</v>
      </c>
      <c r="BW29" s="86">
        <f>10*LOG10(($O29+NseMeas!T_0+BV29)/($O29+NseMeas!T_0))</f>
        <v>0.18647070436090454</v>
      </c>
      <c r="BX29" s="175">
        <f>UseUserCal*X29*Calibration!AM29*nSD</f>
        <v>0</v>
      </c>
      <c r="BY29" s="86">
        <f>10*LOG10(($O29+NseMeas!T_0+BX29)/($O29+NseMeas!T_0))</f>
        <v>0</v>
      </c>
      <c r="BZ29" s="168">
        <f>UseUserCal*X29*Calibration!AP29*nSD</f>
        <v>0.45096991767149258</v>
      </c>
      <c r="CA29" s="86">
        <f>10*LOG10(($O29+NseMeas!T_0+BZ29)/($O29+NseMeas!T_0))</f>
        <v>2.6878157133072068E-3</v>
      </c>
      <c r="CB29" s="4">
        <f t="shared" si="37"/>
        <v>31.961299472360487</v>
      </c>
      <c r="CC29" s="86">
        <f>10*LOG10(($O29+NseMeas!T_0+CB29)/($O29+NseMeas!T_0))</f>
        <v>0.18648887627492966</v>
      </c>
    </row>
    <row r="30" spans="1:81">
      <c r="A30" s="4">
        <f t="shared" si="38"/>
        <v>13.300000000000008</v>
      </c>
      <c r="B30" s="164">
        <f>T_0*(1+10^('Meas. Noise Std'!AA31/10))</f>
        <v>1207.0605214488303</v>
      </c>
      <c r="C30" s="164">
        <f t="shared" si="0"/>
        <v>298</v>
      </c>
      <c r="D30" s="86">
        <f t="shared" si="1"/>
        <v>298</v>
      </c>
      <c r="E30" s="164">
        <f>IF(UsePreamp,T_0*(10^(Preamp!AE31/10)-1),0)</f>
        <v>438.4470651377784</v>
      </c>
      <c r="F30" s="164">
        <f>T_0*(10^((FieldFox!B30-kT0dB)/10)-1)</f>
        <v>11189.742086492277</v>
      </c>
      <c r="G30" s="86">
        <f>IF(UsePreamp,10^(Preamp!AD31/10),1)</f>
        <v>90.323342356724709</v>
      </c>
      <c r="H30" s="86">
        <f>T_0*(10^(DUT!AE31/10)-1)</f>
        <v>438.4470651377784</v>
      </c>
      <c r="I30" s="86">
        <f>10^(DUT!AD31/10)</f>
        <v>100</v>
      </c>
      <c r="J30" s="87">
        <f t="shared" si="2"/>
        <v>7.3505120374947474E-7</v>
      </c>
      <c r="K30" s="87">
        <f t="shared" si="3"/>
        <v>3.3035523077552908E-7</v>
      </c>
      <c r="L30" s="87">
        <f t="shared" si="4"/>
        <v>5.6620116906862111E-10</v>
      </c>
      <c r="M30" s="87">
        <f>IF(UseUserCal,Calibration!M30,0)</f>
        <v>1.9518806222132453E-9</v>
      </c>
      <c r="N30" s="87">
        <f>IF(UseUserCal,Calibration!L30,1)</f>
        <v>90.323342356724709</v>
      </c>
      <c r="O30" s="165">
        <f t="shared" si="5"/>
        <v>438.44706513777857</v>
      </c>
      <c r="P30" s="86">
        <f t="shared" si="6"/>
        <v>99.999999999999986</v>
      </c>
      <c r="Q30" s="170">
        <f t="shared" si="7"/>
        <v>5.3735974738802815E-7</v>
      </c>
      <c r="R30" s="87">
        <f t="shared" si="8"/>
        <v>1.9518806222132471E-7</v>
      </c>
      <c r="S30" s="87">
        <f t="shared" si="39"/>
        <v>4065952477.6482911</v>
      </c>
      <c r="T30" s="87">
        <f t="shared" si="9"/>
        <v>1819672350.9435074</v>
      </c>
      <c r="U30" s="87">
        <f t="shared" si="10"/>
        <v>0.81008255796346507</v>
      </c>
      <c r="V30" s="87">
        <f t="shared" si="11"/>
        <v>-1.810082557963465</v>
      </c>
      <c r="W30" s="87">
        <f t="shared" si="12"/>
        <v>1.1071335204255188E-4</v>
      </c>
      <c r="X30" s="87">
        <f t="shared" si="40"/>
        <v>2246280126.7047834</v>
      </c>
      <c r="Y30" s="86">
        <f>FieldFox!AG30</f>
        <v>0.1</v>
      </c>
      <c r="Z30" s="86">
        <f>FieldFox!AF30</f>
        <v>0.1</v>
      </c>
      <c r="AA30" s="86">
        <f>FieldFox!AH30</f>
        <v>0.1</v>
      </c>
      <c r="AB30" s="87">
        <f t="shared" si="41"/>
        <v>1.3389238540091567E-3</v>
      </c>
      <c r="AC30" s="87">
        <f t="shared" si="13"/>
        <v>1.3389238540091567E-3</v>
      </c>
      <c r="AD30" s="87">
        <f t="shared" si="14"/>
        <v>1.3389238540091567E-3</v>
      </c>
      <c r="AE30" s="87">
        <f>DUT!AF31</f>
        <v>0.2</v>
      </c>
      <c r="AF30" s="4">
        <f t="shared" si="42"/>
        <v>0.40853898265363492</v>
      </c>
      <c r="AG30" s="4">
        <f>'Meas. Noise Std'!AC31</f>
        <v>0.1</v>
      </c>
      <c r="AH30" s="4">
        <f>'Meas. Noise Std'!AD31</f>
        <v>1</v>
      </c>
      <c r="AI30" s="4">
        <f>DUT!AH31</f>
        <v>0</v>
      </c>
      <c r="AJ30" s="166">
        <f t="shared" si="15"/>
        <v>1.6341559306145403E-2</v>
      </c>
      <c r="AK30" s="166">
        <f t="shared" si="16"/>
        <v>0</v>
      </c>
      <c r="AL30" s="163">
        <f t="shared" si="43"/>
        <v>1.6341559306145403E-2</v>
      </c>
      <c r="AM30" s="4">
        <f t="shared" si="17"/>
        <v>0</v>
      </c>
      <c r="AN30" s="4">
        <f>DUT!AG31</f>
        <v>0.31622776601683794</v>
      </c>
      <c r="AO30" s="4">
        <f>IF(AND(UsePreamp,UseUserCal),Preamp!AF31,0)</f>
        <v>0.3981071705534972</v>
      </c>
      <c r="AP30" s="4">
        <f t="shared" si="44"/>
        <v>0.40853898265363492</v>
      </c>
      <c r="AQ30" s="88">
        <f t="shared" si="18"/>
        <v>1.7984541279375277</v>
      </c>
      <c r="AR30" s="88">
        <f t="shared" si="19"/>
        <v>0</v>
      </c>
      <c r="AS30" s="88">
        <f t="shared" si="45"/>
        <v>1.7984541279375277</v>
      </c>
      <c r="AT30" s="88">
        <f t="shared" si="20"/>
        <v>1.7908807500663493</v>
      </c>
      <c r="AU30" s="88">
        <f t="shared" si="21"/>
        <v>15.979081865423348</v>
      </c>
      <c r="AV30" s="88">
        <f t="shared" si="46"/>
        <v>16.079126565919541</v>
      </c>
      <c r="AW30" s="88">
        <f>X30*Calibration!AT30*UseUserCal</f>
        <v>0.22842530681517334</v>
      </c>
      <c r="AX30" s="88">
        <f t="shared" si="22"/>
        <v>1.702905528845753E-3</v>
      </c>
      <c r="AY30" s="167">
        <f t="shared" si="47"/>
        <v>0.22843165428820553</v>
      </c>
      <c r="AZ30" s="88">
        <f>U30*B30*(10^('Meas. Noise Std'!AB31/(ENRconf*10))-1)</f>
        <v>11.322606619691594</v>
      </c>
      <c r="BA30" s="88">
        <f t="shared" si="23"/>
        <v>0</v>
      </c>
      <c r="BB30" s="88">
        <f t="shared" si="24"/>
        <v>0</v>
      </c>
      <c r="BC30" s="88">
        <f t="shared" si="48"/>
        <v>0</v>
      </c>
      <c r="BD30" s="88">
        <f t="shared" si="25"/>
        <v>19.74908479039269</v>
      </c>
      <c r="BE30" s="4">
        <f t="shared" si="26"/>
        <v>39.49816958078538</v>
      </c>
      <c r="BF30" s="4">
        <f t="shared" si="27"/>
        <v>0.22932251940390053</v>
      </c>
      <c r="BG30" s="88">
        <f t="shared" si="28"/>
        <v>477.94523471856394</v>
      </c>
      <c r="BH30" s="88">
        <f t="shared" si="29"/>
        <v>398.94889555699319</v>
      </c>
      <c r="BI30" s="86">
        <f t="shared" si="30"/>
        <v>5.0760985061919293</v>
      </c>
      <c r="BJ30" s="86">
        <f>10*LOG10(($O30+NseMeas!T_0+BI30)/($O30+NseMeas!T_0))</f>
        <v>3.0158349141795566E-2</v>
      </c>
      <c r="BK30" s="86">
        <f t="shared" si="31"/>
        <v>31.958163730846696</v>
      </c>
      <c r="BL30" s="86">
        <f>10*LOG10(($O30+NseMeas!T_0+BK30)/($O30+NseMeas!T_0))</f>
        <v>0.18647096697635429</v>
      </c>
      <c r="BM30" s="86">
        <f t="shared" si="32"/>
        <v>22.645213239383189</v>
      </c>
      <c r="BN30" s="86">
        <f>10*LOG10(($O30+NseMeas!T_0+BM30)/($O30+NseMeas!T_0))</f>
        <v>0.1329529932898485</v>
      </c>
      <c r="BO30" s="86">
        <f t="shared" si="33"/>
        <v>0.45685061363034668</v>
      </c>
      <c r="BP30" s="86">
        <f>10*LOG10(($O30+NseMeas!T_0+BO30)/($O30+NseMeas!T_0))</f>
        <v>2.7228541326656122E-3</v>
      </c>
      <c r="BQ30" s="86">
        <f t="shared" si="34"/>
        <v>0</v>
      </c>
      <c r="BR30" s="86">
        <f>10*LOG10(($O30+NseMeas!T_0+BQ30)/($O30+NseMeas!T_0))</f>
        <v>0</v>
      </c>
      <c r="BT30" s="86">
        <f t="shared" si="35"/>
        <v>0</v>
      </c>
      <c r="BU30" s="86">
        <f>10*LOG10(($O30+NseMeas!T_0+BT30)/($O30+NseMeas!T_0))</f>
        <v>0</v>
      </c>
      <c r="BV30" s="86">
        <f t="shared" si="36"/>
        <v>31.958163730846696</v>
      </c>
      <c r="BW30" s="86">
        <f>10*LOG10(($O30+NseMeas!T_0+BV30)/($O30+NseMeas!T_0))</f>
        <v>0.18647096697635429</v>
      </c>
      <c r="BX30" s="175">
        <f>UseUserCal*X30*Calibration!AM30*nSD</f>
        <v>0</v>
      </c>
      <c r="BY30" s="86">
        <f>10*LOG10(($O30+NseMeas!T_0+BX30)/($O30+NseMeas!T_0))</f>
        <v>0</v>
      </c>
      <c r="BZ30" s="168">
        <f>UseUserCal*X30*Calibration!AP30*nSD</f>
        <v>0.45096991767149275</v>
      </c>
      <c r="CA30" s="86">
        <f>10*LOG10(($O30+NseMeas!T_0+BZ30)/($O30+NseMeas!T_0))</f>
        <v>2.6878157133072068E-3</v>
      </c>
      <c r="CB30" s="4">
        <f t="shared" si="37"/>
        <v>31.961345449061586</v>
      </c>
      <c r="CC30" s="86">
        <f>10*LOG10(($O30+NseMeas!T_0+CB30)/($O30+NseMeas!T_0))</f>
        <v>0.1864891388631372</v>
      </c>
    </row>
    <row r="31" spans="1:81">
      <c r="A31" s="4">
        <f t="shared" si="38"/>
        <v>13.828000000000008</v>
      </c>
      <c r="B31" s="164">
        <f>T_0*(1+10^('Meas. Noise Std'!AA32/10))</f>
        <v>1207.0605214488303</v>
      </c>
      <c r="C31" s="164">
        <f t="shared" si="0"/>
        <v>298</v>
      </c>
      <c r="D31" s="86">
        <f t="shared" si="1"/>
        <v>298</v>
      </c>
      <c r="E31" s="164">
        <f>IF(UsePreamp,T_0*(10^(Preamp!AE32/10)-1),0)</f>
        <v>438.4470651377784</v>
      </c>
      <c r="F31" s="164">
        <f>T_0*(10^((FieldFox!B31-kT0dB)/10)-1)</f>
        <v>11189.742086492277</v>
      </c>
      <c r="G31" s="86">
        <f>IF(UsePreamp,10^(Preamp!AD32/10),1)</f>
        <v>93.22405721749827</v>
      </c>
      <c r="H31" s="86">
        <f>T_0*(10^(DUT!AE32/10)-1)</f>
        <v>438.4470651377784</v>
      </c>
      <c r="I31" s="86">
        <f>10^(DUT!AD32/10)</f>
        <v>100</v>
      </c>
      <c r="J31" s="87">
        <f t="shared" si="2"/>
        <v>7.5863950452640734E-7</v>
      </c>
      <c r="K31" s="87">
        <f t="shared" si="3"/>
        <v>3.409468067604972E-7</v>
      </c>
      <c r="L31" s="87">
        <f t="shared" si="4"/>
        <v>5.6620116906862111E-10</v>
      </c>
      <c r="M31" s="87">
        <f>IF(UseUserCal,Calibration!M31,0)</f>
        <v>2.0145648517776157E-9</v>
      </c>
      <c r="N31" s="87">
        <f>IF(UseUserCal,Calibration!L31,1)</f>
        <v>93.22405721749827</v>
      </c>
      <c r="O31" s="165">
        <f t="shared" si="5"/>
        <v>438.44706513777851</v>
      </c>
      <c r="P31" s="86">
        <f t="shared" si="6"/>
        <v>100</v>
      </c>
      <c r="Q31" s="170">
        <f t="shared" si="7"/>
        <v>5.546169409789597E-7</v>
      </c>
      <c r="R31" s="87">
        <f t="shared" si="8"/>
        <v>2.0145648517776147E-7</v>
      </c>
      <c r="S31" s="87">
        <f t="shared" si="39"/>
        <v>3939440716.5601845</v>
      </c>
      <c r="T31" s="87">
        <f t="shared" si="9"/>
        <v>1763054760.3031757</v>
      </c>
      <c r="U31" s="87">
        <f t="shared" si="10"/>
        <v>0.8100836872405256</v>
      </c>
      <c r="V31" s="87">
        <f t="shared" si="11"/>
        <v>-1.8100836872405257</v>
      </c>
      <c r="W31" s="87">
        <f t="shared" si="12"/>
        <v>1.0726844870814085E-4</v>
      </c>
      <c r="X31" s="87">
        <f t="shared" si="40"/>
        <v>2176385956.2570095</v>
      </c>
      <c r="Y31" s="86">
        <f>FieldFox!AG31</f>
        <v>0.1</v>
      </c>
      <c r="Z31" s="86">
        <f>FieldFox!AF31</f>
        <v>0.1</v>
      </c>
      <c r="AA31" s="86">
        <f>FieldFox!AH31</f>
        <v>0.1</v>
      </c>
      <c r="AB31" s="87">
        <f t="shared" si="41"/>
        <v>1.3389238540091567E-3</v>
      </c>
      <c r="AC31" s="87">
        <f t="shared" si="13"/>
        <v>1.3389238540091567E-3</v>
      </c>
      <c r="AD31" s="87">
        <f t="shared" si="14"/>
        <v>1.3389238540091567E-3</v>
      </c>
      <c r="AE31" s="87">
        <f>DUT!AF32</f>
        <v>0.2</v>
      </c>
      <c r="AF31" s="4">
        <f t="shared" si="42"/>
        <v>0.40853898265363492</v>
      </c>
      <c r="AG31" s="4">
        <f>'Meas. Noise Std'!AC32</f>
        <v>0.1</v>
      </c>
      <c r="AH31" s="4">
        <f>'Meas. Noise Std'!AD32</f>
        <v>1</v>
      </c>
      <c r="AI31" s="4">
        <f>DUT!AH32</f>
        <v>0</v>
      </c>
      <c r="AJ31" s="166">
        <f t="shared" si="15"/>
        <v>1.6341559306145403E-2</v>
      </c>
      <c r="AK31" s="166">
        <f t="shared" si="16"/>
        <v>0</v>
      </c>
      <c r="AL31" s="163">
        <f t="shared" si="43"/>
        <v>1.6341559306145403E-2</v>
      </c>
      <c r="AM31" s="4">
        <f t="shared" si="17"/>
        <v>0</v>
      </c>
      <c r="AN31" s="4">
        <f>DUT!AG32</f>
        <v>0.31622776601683794</v>
      </c>
      <c r="AO31" s="4">
        <f>IF(AND(UsePreamp,UseUserCal),Preamp!AF32,0)</f>
        <v>0.3981071705534972</v>
      </c>
      <c r="AP31" s="4">
        <f t="shared" si="44"/>
        <v>0.40853898265363492</v>
      </c>
      <c r="AQ31" s="88">
        <f t="shared" si="18"/>
        <v>1.7983618274243396</v>
      </c>
      <c r="AR31" s="88">
        <f t="shared" si="19"/>
        <v>0</v>
      </c>
      <c r="AS31" s="88">
        <f t="shared" si="45"/>
        <v>1.7983618274243396</v>
      </c>
      <c r="AT31" s="88">
        <f t="shared" si="20"/>
        <v>1.7908414363413514</v>
      </c>
      <c r="AU31" s="88">
        <f t="shared" si="21"/>
        <v>15.979104140696931</v>
      </c>
      <c r="AV31" s="88">
        <f t="shared" si="46"/>
        <v>16.079144323917081</v>
      </c>
      <c r="AW31" s="88">
        <f>X31*Calibration!AT31*UseUserCal</f>
        <v>0.22842522484944128</v>
      </c>
      <c r="AX31" s="88">
        <f t="shared" si="22"/>
        <v>1.6499187406555352E-3</v>
      </c>
      <c r="AY31" s="167">
        <f t="shared" si="47"/>
        <v>0.22843118346532412</v>
      </c>
      <c r="AZ31" s="88">
        <f>U31*B31*(10^('Meas. Noise Std'!AB32/(ENRconf*10))-1)</f>
        <v>11.322622403712366</v>
      </c>
      <c r="BA31" s="88">
        <f t="shared" si="23"/>
        <v>0</v>
      </c>
      <c r="BB31" s="88">
        <f t="shared" si="24"/>
        <v>0</v>
      </c>
      <c r="BC31" s="88">
        <f t="shared" si="48"/>
        <v>0</v>
      </c>
      <c r="BD31" s="88">
        <f t="shared" si="25"/>
        <v>19.749099887192845</v>
      </c>
      <c r="BE31" s="4">
        <f t="shared" si="26"/>
        <v>39.498199774385689</v>
      </c>
      <c r="BF31" s="4">
        <f t="shared" si="27"/>
        <v>0.22932269015714069</v>
      </c>
      <c r="BG31" s="88">
        <f t="shared" si="28"/>
        <v>477.94526491216419</v>
      </c>
      <c r="BH31" s="88">
        <f t="shared" si="29"/>
        <v>398.94886536339283</v>
      </c>
      <c r="BI31" s="86">
        <f t="shared" si="30"/>
        <v>5.0759121484462337</v>
      </c>
      <c r="BJ31" s="86">
        <f>10*LOG10(($O31+NseMeas!T_0+BI31)/($O31+NseMeas!T_0))</f>
        <v>3.0157245779899644E-2</v>
      </c>
      <c r="BK31" s="86">
        <f t="shared" si="31"/>
        <v>31.958208281393862</v>
      </c>
      <c r="BL31" s="86">
        <f>10*LOG10(($O31+NseMeas!T_0+BK31)/($O31+NseMeas!T_0))</f>
        <v>0.18647122142037356</v>
      </c>
      <c r="BM31" s="86">
        <f t="shared" si="32"/>
        <v>22.645244807424731</v>
      </c>
      <c r="BN31" s="86">
        <f>10*LOG10(($O31+NseMeas!T_0+BM31)/($O31+NseMeas!T_0))</f>
        <v>0.1329531758216943</v>
      </c>
      <c r="BO31" s="86">
        <f t="shared" si="33"/>
        <v>0.45685044969888255</v>
      </c>
      <c r="BP31" s="86">
        <f>10*LOG10(($O31+NseMeas!T_0+BO31)/($O31+NseMeas!T_0))</f>
        <v>2.7228531559313255E-3</v>
      </c>
      <c r="BQ31" s="86">
        <f t="shared" si="34"/>
        <v>0</v>
      </c>
      <c r="BR31" s="86">
        <f>10*LOG10(($O31+NseMeas!T_0+BQ31)/($O31+NseMeas!T_0))</f>
        <v>0</v>
      </c>
      <c r="BT31" s="86">
        <f t="shared" si="35"/>
        <v>0</v>
      </c>
      <c r="BU31" s="86">
        <f>10*LOG10(($O31+NseMeas!T_0+BT31)/($O31+NseMeas!T_0))</f>
        <v>0</v>
      </c>
      <c r="BV31" s="86">
        <f t="shared" si="36"/>
        <v>31.958208281393862</v>
      </c>
      <c r="BW31" s="86">
        <f>10*LOG10(($O31+NseMeas!T_0+BV31)/($O31+NseMeas!T_0))</f>
        <v>0.18647122142037356</v>
      </c>
      <c r="BX31" s="175">
        <f>UseUserCal*X31*Calibration!AM31*nSD</f>
        <v>0</v>
      </c>
      <c r="BY31" s="86">
        <f>10*LOG10(($O31+NseMeas!T_0+BX31)/($O31+NseMeas!T_0))</f>
        <v>0</v>
      </c>
      <c r="BZ31" s="168">
        <f>UseUserCal*X31*Calibration!AP31*nSD</f>
        <v>0.45096991767149269</v>
      </c>
      <c r="CA31" s="86">
        <f>10*LOG10(($O31+NseMeas!T_0+BZ31)/($O31+NseMeas!T_0))</f>
        <v>2.6878157133072068E-3</v>
      </c>
      <c r="CB31" s="4">
        <f t="shared" si="37"/>
        <v>31.9613899951738</v>
      </c>
      <c r="CC31" s="86">
        <f>10*LOG10(($O31+NseMeas!T_0+CB31)/($O31+NseMeas!T_0))</f>
        <v>0.18648939328076225</v>
      </c>
    </row>
    <row r="32" spans="1:81">
      <c r="A32" s="4">
        <f t="shared" si="38"/>
        <v>14.356000000000009</v>
      </c>
      <c r="B32" s="164">
        <f>T_0*(1+10^('Meas. Noise Std'!AA33/10))</f>
        <v>1207.0605214488303</v>
      </c>
      <c r="C32" s="164">
        <f t="shared" si="0"/>
        <v>298</v>
      </c>
      <c r="D32" s="86">
        <f t="shared" si="1"/>
        <v>298</v>
      </c>
      <c r="E32" s="164">
        <f>IF(UsePreamp,T_0*(10^(Preamp!AE33/10)-1),0)</f>
        <v>438.4470651377784</v>
      </c>
      <c r="F32" s="164">
        <f>T_0*(10^((FieldFox!B32-kT0dB)/10)-1)</f>
        <v>11189.742086492277</v>
      </c>
      <c r="G32" s="86">
        <f>IF(UsePreamp,10^(Preamp!AD33/10),1)</f>
        <v>96.217927916884122</v>
      </c>
      <c r="H32" s="86">
        <f>T_0*(10^(DUT!AE33/10)-1)</f>
        <v>438.4470651377784</v>
      </c>
      <c r="I32" s="86">
        <f>10^(DUT!AD33/10)</f>
        <v>100</v>
      </c>
      <c r="J32" s="87">
        <f t="shared" si="2"/>
        <v>7.8298533854799964E-7</v>
      </c>
      <c r="K32" s="87">
        <f t="shared" si="3"/>
        <v>3.5187852894750964E-7</v>
      </c>
      <c r="L32" s="87">
        <f t="shared" si="4"/>
        <v>5.6620116906862111E-10</v>
      </c>
      <c r="M32" s="87">
        <f>IF(UseUserCal,Calibration!M32,0)</f>
        <v>2.0792621719948417E-9</v>
      </c>
      <c r="N32" s="87">
        <f>IF(UseUserCal,Calibration!L32,1)</f>
        <v>96.21792791688415</v>
      </c>
      <c r="O32" s="165">
        <f t="shared" si="5"/>
        <v>438.44706513777851</v>
      </c>
      <c r="P32" s="86">
        <f t="shared" si="6"/>
        <v>99.999999999999972</v>
      </c>
      <c r="Q32" s="170">
        <f t="shared" si="7"/>
        <v>5.7242834565861187E-7</v>
      </c>
      <c r="R32" s="87">
        <f t="shared" si="8"/>
        <v>2.079262171994842E-7</v>
      </c>
      <c r="S32" s="87">
        <f t="shared" si="39"/>
        <v>3816865283.9243183</v>
      </c>
      <c r="T32" s="87">
        <f t="shared" si="9"/>
        <v>1708198704.7736349</v>
      </c>
      <c r="U32" s="87">
        <f t="shared" si="10"/>
        <v>0.8100847813795452</v>
      </c>
      <c r="V32" s="87">
        <f t="shared" si="11"/>
        <v>-1.8100847813795453</v>
      </c>
      <c r="W32" s="87">
        <f t="shared" si="12"/>
        <v>1.0393073532656299E-4</v>
      </c>
      <c r="X32" s="87">
        <f t="shared" si="40"/>
        <v>2108666579.1506834</v>
      </c>
      <c r="Y32" s="86">
        <f>FieldFox!AG32</f>
        <v>0.1</v>
      </c>
      <c r="Z32" s="86">
        <f>FieldFox!AF32</f>
        <v>0.1</v>
      </c>
      <c r="AA32" s="86">
        <f>FieldFox!AH32</f>
        <v>0.1</v>
      </c>
      <c r="AB32" s="87">
        <f t="shared" si="41"/>
        <v>1.3389238540091567E-3</v>
      </c>
      <c r="AC32" s="87">
        <f t="shared" si="13"/>
        <v>1.3389238540091567E-3</v>
      </c>
      <c r="AD32" s="87">
        <f t="shared" si="14"/>
        <v>1.3389238540091567E-3</v>
      </c>
      <c r="AE32" s="87">
        <f>DUT!AF33</f>
        <v>0.2</v>
      </c>
      <c r="AF32" s="4">
        <f t="shared" si="42"/>
        <v>0.40853898265363492</v>
      </c>
      <c r="AG32" s="4">
        <f>'Meas. Noise Std'!AC33</f>
        <v>0.1</v>
      </c>
      <c r="AH32" s="4">
        <f>'Meas. Noise Std'!AD33</f>
        <v>1</v>
      </c>
      <c r="AI32" s="4">
        <f>DUT!AH33</f>
        <v>0</v>
      </c>
      <c r="AJ32" s="166">
        <f t="shared" si="15"/>
        <v>1.6341559306145403E-2</v>
      </c>
      <c r="AK32" s="166">
        <f t="shared" si="16"/>
        <v>0</v>
      </c>
      <c r="AL32" s="163">
        <f t="shared" si="43"/>
        <v>1.6341559306145403E-2</v>
      </c>
      <c r="AM32" s="4">
        <f t="shared" si="17"/>
        <v>0</v>
      </c>
      <c r="AN32" s="4">
        <f>DUT!AG33</f>
        <v>0.31622776601683794</v>
      </c>
      <c r="AO32" s="4">
        <f>IF(AND(UsePreamp,UseUserCal),Preamp!AF33,0)</f>
        <v>0.3981071705534972</v>
      </c>
      <c r="AP32" s="4">
        <f t="shared" si="44"/>
        <v>0.40853898265363492</v>
      </c>
      <c r="AQ32" s="88">
        <f t="shared" si="18"/>
        <v>1.7982723987782765</v>
      </c>
      <c r="AR32" s="88">
        <f t="shared" si="19"/>
        <v>0</v>
      </c>
      <c r="AS32" s="88">
        <f t="shared" si="45"/>
        <v>1.7982723987782765</v>
      </c>
      <c r="AT32" s="88">
        <f t="shared" si="20"/>
        <v>1.7908033457720991</v>
      </c>
      <c r="AU32" s="88">
        <f t="shared" si="21"/>
        <v>15.97912572286382</v>
      </c>
      <c r="AV32" s="88">
        <f t="shared" si="46"/>
        <v>16.079161529455344</v>
      </c>
      <c r="AW32" s="88">
        <f>X32*Calibration!AT32*UseUserCal</f>
        <v>0.22842514590394059</v>
      </c>
      <c r="AX32" s="88">
        <f t="shared" si="22"/>
        <v>1.5985806638442858E-3</v>
      </c>
      <c r="AY32" s="167">
        <f t="shared" si="47"/>
        <v>0.22843073948436834</v>
      </c>
      <c r="AZ32" s="88">
        <f>U32*B32*(10^('Meas. Noise Std'!AB33/(ENRconf*10))-1)</f>
        <v>11.322637696605151</v>
      </c>
      <c r="BA32" s="88">
        <f t="shared" si="23"/>
        <v>0</v>
      </c>
      <c r="BB32" s="88">
        <f t="shared" si="24"/>
        <v>0</v>
      </c>
      <c r="BC32" s="88">
        <f t="shared" si="48"/>
        <v>0</v>
      </c>
      <c r="BD32" s="88">
        <f t="shared" si="25"/>
        <v>19.749114514880151</v>
      </c>
      <c r="BE32" s="4">
        <f t="shared" si="26"/>
        <v>39.498229029760303</v>
      </c>
      <c r="BF32" s="4">
        <f t="shared" si="27"/>
        <v>0.22932285560444615</v>
      </c>
      <c r="BG32" s="88">
        <f t="shared" si="28"/>
        <v>477.9452941675388</v>
      </c>
      <c r="BH32" s="88">
        <f t="shared" si="29"/>
        <v>398.94883610801821</v>
      </c>
      <c r="BI32" s="86">
        <f t="shared" si="30"/>
        <v>5.0757315921535726</v>
      </c>
      <c r="BJ32" s="86">
        <f>10*LOG10(($O32+NseMeas!T_0+BI32)/($O32+NseMeas!T_0))</f>
        <v>3.015617676619942E-2</v>
      </c>
      <c r="BK32" s="86">
        <f t="shared" si="31"/>
        <v>31.95825144572764</v>
      </c>
      <c r="BL32" s="86">
        <f>10*LOG10(($O32+NseMeas!T_0+BK32)/($O32+NseMeas!T_0))</f>
        <v>0.18647146794722091</v>
      </c>
      <c r="BM32" s="86">
        <f t="shared" si="32"/>
        <v>22.645275393210301</v>
      </c>
      <c r="BN32" s="86">
        <f>10*LOG10(($O32+NseMeas!T_0+BM32)/($O32+NseMeas!T_0))</f>
        <v>0.13295335267395864</v>
      </c>
      <c r="BO32" s="86">
        <f t="shared" si="33"/>
        <v>0.45685029180788117</v>
      </c>
      <c r="BP32" s="86">
        <f>10*LOG10(($O32+NseMeas!T_0+BO32)/($O32+NseMeas!T_0))</f>
        <v>2.7228522151882409E-3</v>
      </c>
      <c r="BQ32" s="86">
        <f t="shared" si="34"/>
        <v>0</v>
      </c>
      <c r="BR32" s="86">
        <f>10*LOG10(($O32+NseMeas!T_0+BQ32)/($O32+NseMeas!T_0))</f>
        <v>0</v>
      </c>
      <c r="BT32" s="86">
        <f t="shared" si="35"/>
        <v>0</v>
      </c>
      <c r="BU32" s="86">
        <f>10*LOG10(($O32+NseMeas!T_0+BT32)/($O32+NseMeas!T_0))</f>
        <v>0</v>
      </c>
      <c r="BV32" s="86">
        <f t="shared" si="36"/>
        <v>31.95825144572764</v>
      </c>
      <c r="BW32" s="86">
        <f>10*LOG10(($O32+NseMeas!T_0+BV32)/($O32+NseMeas!T_0))</f>
        <v>0.18647146794722091</v>
      </c>
      <c r="BX32" s="175">
        <f>UseUserCal*X32*Calibration!AM32*nSD</f>
        <v>0</v>
      </c>
      <c r="BY32" s="86">
        <f>10*LOG10(($O32+NseMeas!T_0+BX32)/($O32+NseMeas!T_0))</f>
        <v>0</v>
      </c>
      <c r="BZ32" s="168">
        <f>UseUserCal*X32*Calibration!AP32*nSD</f>
        <v>0.45096991767149264</v>
      </c>
      <c r="CA32" s="86">
        <f>10*LOG10(($O32+NseMeas!T_0+BZ32)/($O32+NseMeas!T_0))</f>
        <v>2.6878157133072068E-3</v>
      </c>
      <c r="CB32" s="4">
        <f t="shared" si="37"/>
        <v>31.961433155210631</v>
      </c>
      <c r="CC32" s="86">
        <f>10*LOG10(($O32+NseMeas!T_0+CB32)/($O32+NseMeas!T_0))</f>
        <v>0.18648963978203653</v>
      </c>
    </row>
    <row r="33" spans="1:81">
      <c r="A33" s="4">
        <f t="shared" si="38"/>
        <v>14.884000000000009</v>
      </c>
      <c r="B33" s="164">
        <f>T_0*(1+10^('Meas. Noise Std'!AA34/10))</f>
        <v>1207.0605214488303</v>
      </c>
      <c r="C33" s="164">
        <f t="shared" si="0"/>
        <v>298</v>
      </c>
      <c r="D33" s="86">
        <f t="shared" si="1"/>
        <v>298</v>
      </c>
      <c r="E33" s="164">
        <f>IF(UsePreamp,T_0*(10^(Preamp!AE34/10)-1),0)</f>
        <v>438.4470651377784</v>
      </c>
      <c r="F33" s="164">
        <f>T_0*(10^((FieldFox!B33-kT0dB)/10)-1)</f>
        <v>11189.742086492277</v>
      </c>
      <c r="G33" s="86">
        <f>IF(UsePreamp,10^(Preamp!AD34/10),1)</f>
        <v>99.307946134755937</v>
      </c>
      <c r="H33" s="86">
        <f>T_0*(10^(DUT!AE34/10)-1)</f>
        <v>438.4470651377784</v>
      </c>
      <c r="I33" s="86">
        <f>10^(DUT!AD34/10)</f>
        <v>100</v>
      </c>
      <c r="J33" s="87">
        <f t="shared" si="2"/>
        <v>8.0811303383271427E-7</v>
      </c>
      <c r="K33" s="87">
        <f t="shared" si="3"/>
        <v>3.631613210592435E-7</v>
      </c>
      <c r="L33" s="87">
        <f t="shared" si="4"/>
        <v>5.6620116906862111E-10</v>
      </c>
      <c r="M33" s="87">
        <f>IF(UseUserCal,Calibration!M33,0)</f>
        <v>2.1460372328415685E-9</v>
      </c>
      <c r="N33" s="87">
        <f>IF(UseUserCal,Calibration!L33,1)</f>
        <v>99.307946134755923</v>
      </c>
      <c r="O33" s="165">
        <f t="shared" si="5"/>
        <v>438.4470651377784</v>
      </c>
      <c r="P33" s="86">
        <f t="shared" si="6"/>
        <v>100</v>
      </c>
      <c r="Q33" s="170">
        <f t="shared" si="7"/>
        <v>5.9081175979780732E-7</v>
      </c>
      <c r="R33" s="87">
        <f t="shared" si="8"/>
        <v>2.1460372328415674E-7</v>
      </c>
      <c r="S33" s="87">
        <f t="shared" si="39"/>
        <v>3698103708.0648398</v>
      </c>
      <c r="T33" s="87">
        <f t="shared" si="9"/>
        <v>1655049382.5011091</v>
      </c>
      <c r="U33" s="87">
        <f t="shared" si="10"/>
        <v>0.81008584147386231</v>
      </c>
      <c r="V33" s="87">
        <f t="shared" si="11"/>
        <v>-1.8100858414738623</v>
      </c>
      <c r="W33" s="87">
        <f t="shared" si="12"/>
        <v>1.0069687662687635E-4</v>
      </c>
      <c r="X33" s="87">
        <f t="shared" si="40"/>
        <v>2043054325.563731</v>
      </c>
      <c r="Y33" s="86">
        <f>FieldFox!AG33</f>
        <v>0.1</v>
      </c>
      <c r="Z33" s="86">
        <f>FieldFox!AF33</f>
        <v>0.1</v>
      </c>
      <c r="AA33" s="86">
        <f>FieldFox!AH33</f>
        <v>0.1</v>
      </c>
      <c r="AB33" s="87">
        <f t="shared" si="41"/>
        <v>1.3389238540091567E-3</v>
      </c>
      <c r="AC33" s="87">
        <f t="shared" si="13"/>
        <v>1.3389238540091567E-3</v>
      </c>
      <c r="AD33" s="87">
        <f t="shared" si="14"/>
        <v>1.3389238540091567E-3</v>
      </c>
      <c r="AE33" s="87">
        <f>DUT!AF34</f>
        <v>0.2</v>
      </c>
      <c r="AF33" s="4">
        <f t="shared" si="42"/>
        <v>0.40853898265363492</v>
      </c>
      <c r="AG33" s="4">
        <f>'Meas. Noise Std'!AC34</f>
        <v>0.1</v>
      </c>
      <c r="AH33" s="4">
        <f>'Meas. Noise Std'!AD34</f>
        <v>1</v>
      </c>
      <c r="AI33" s="4">
        <f>DUT!AH34</f>
        <v>0</v>
      </c>
      <c r="AJ33" s="166">
        <f t="shared" si="15"/>
        <v>1.6341559306145403E-2</v>
      </c>
      <c r="AK33" s="166">
        <f t="shared" si="16"/>
        <v>0</v>
      </c>
      <c r="AL33" s="163">
        <f t="shared" si="43"/>
        <v>1.6341559306145403E-2</v>
      </c>
      <c r="AM33" s="4">
        <f t="shared" si="17"/>
        <v>0</v>
      </c>
      <c r="AN33" s="4">
        <f>DUT!AG34</f>
        <v>0.31622776601683794</v>
      </c>
      <c r="AO33" s="4">
        <f>IF(AND(UsePreamp,UseUserCal),Preamp!AF34,0)</f>
        <v>0.3981071705534972</v>
      </c>
      <c r="AP33" s="4">
        <f t="shared" si="44"/>
        <v>0.40853898265363492</v>
      </c>
      <c r="AQ33" s="88">
        <f t="shared" si="18"/>
        <v>1.7981857526465157</v>
      </c>
      <c r="AR33" s="88">
        <f t="shared" si="19"/>
        <v>0</v>
      </c>
      <c r="AS33" s="88">
        <f t="shared" si="45"/>
        <v>1.7981857526465157</v>
      </c>
      <c r="AT33" s="88">
        <f t="shared" si="20"/>
        <v>1.7907664403062802</v>
      </c>
      <c r="AU33" s="88">
        <f t="shared" si="21"/>
        <v>15.979146633490412</v>
      </c>
      <c r="AV33" s="88">
        <f t="shared" si="46"/>
        <v>16.079178199718889</v>
      </c>
      <c r="AW33" s="88">
        <f>X33*Calibration!AT33*UseUserCal</f>
        <v>0.22842506985591299</v>
      </c>
      <c r="AX33" s="88">
        <f t="shared" si="22"/>
        <v>1.5488399979028758E-3</v>
      </c>
      <c r="AY33" s="167">
        <f t="shared" si="47"/>
        <v>0.22843032076328623</v>
      </c>
      <c r="AZ33" s="88">
        <f>U33*B33*(10^('Meas. Noise Std'!AB34/(ENRconf*10))-1)</f>
        <v>11.322652513651654</v>
      </c>
      <c r="BA33" s="88">
        <f t="shared" si="23"/>
        <v>0</v>
      </c>
      <c r="BB33" s="88">
        <f t="shared" si="24"/>
        <v>0</v>
      </c>
      <c r="BC33" s="88">
        <f t="shared" si="48"/>
        <v>0</v>
      </c>
      <c r="BD33" s="88">
        <f t="shared" si="25"/>
        <v>19.749128688012597</v>
      </c>
      <c r="BE33" s="4">
        <f t="shared" si="26"/>
        <v>39.498257376025194</v>
      </c>
      <c r="BF33" s="4">
        <f t="shared" si="27"/>
        <v>0.22932301591047694</v>
      </c>
      <c r="BG33" s="88">
        <f t="shared" si="28"/>
        <v>477.9453225138036</v>
      </c>
      <c r="BH33" s="88">
        <f t="shared" si="29"/>
        <v>398.94880776175319</v>
      </c>
      <c r="BI33" s="86">
        <f t="shared" si="30"/>
        <v>5.0755566566253529</v>
      </c>
      <c r="BJ33" s="86">
        <f>10*LOG10(($O33+NseMeas!T_0+BI33)/($O33+NseMeas!T_0))</f>
        <v>3.0155141030923045E-2</v>
      </c>
      <c r="BK33" s="86">
        <f t="shared" si="31"/>
        <v>31.958293266980824</v>
      </c>
      <c r="BL33" s="86">
        <f>10*LOG10(($O33+NseMeas!T_0+BK33)/($O33+NseMeas!T_0))</f>
        <v>0.18647170680324338</v>
      </c>
      <c r="BM33" s="86">
        <f t="shared" si="32"/>
        <v>22.645305027303309</v>
      </c>
      <c r="BN33" s="86">
        <f>10*LOG10(($O33+NseMeas!T_0+BM33)/($O33+NseMeas!T_0))</f>
        <v>0.13295352402336669</v>
      </c>
      <c r="BO33" s="86">
        <f t="shared" si="33"/>
        <v>0.45685013971182598</v>
      </c>
      <c r="BP33" s="86">
        <f>10*LOG10(($O33+NseMeas!T_0+BO33)/($O33+NseMeas!T_0))</f>
        <v>2.7228513089714982E-3</v>
      </c>
      <c r="BQ33" s="86">
        <f t="shared" si="34"/>
        <v>0</v>
      </c>
      <c r="BR33" s="86">
        <f>10*LOG10(($O33+NseMeas!T_0+BQ33)/($O33+NseMeas!T_0))</f>
        <v>0</v>
      </c>
      <c r="BT33" s="86">
        <f t="shared" si="35"/>
        <v>0</v>
      </c>
      <c r="BU33" s="86">
        <f>10*LOG10(($O33+NseMeas!T_0+BT33)/($O33+NseMeas!T_0))</f>
        <v>0</v>
      </c>
      <c r="BV33" s="86">
        <f t="shared" si="36"/>
        <v>31.958293266980824</v>
      </c>
      <c r="BW33" s="86">
        <f>10*LOG10(($O33+NseMeas!T_0+BV33)/($O33+NseMeas!T_0))</f>
        <v>0.18647170680324338</v>
      </c>
      <c r="BX33" s="175">
        <f>UseUserCal*X33*Calibration!AM33*nSD</f>
        <v>0</v>
      </c>
      <c r="BY33" s="86">
        <f>10*LOG10(($O33+NseMeas!T_0+BX33)/($O33+NseMeas!T_0))</f>
        <v>0</v>
      </c>
      <c r="BZ33" s="168">
        <f>UseUserCal*X33*Calibration!AP33*nSD</f>
        <v>0.45096991767149264</v>
      </c>
      <c r="CA33" s="86">
        <f>10*LOG10(($O33+NseMeas!T_0+BZ33)/($O33+NseMeas!T_0))</f>
        <v>2.6878157133072068E-3</v>
      </c>
      <c r="CB33" s="4">
        <f t="shared" si="37"/>
        <v>31.961474972300582</v>
      </c>
      <c r="CC33" s="86">
        <f>10*LOG10(($O33+NseMeas!T_0+CB33)/($O33+NseMeas!T_0))</f>
        <v>0.18648987861328203</v>
      </c>
    </row>
    <row r="34" spans="1:81">
      <c r="A34" s="4">
        <f t="shared" si="38"/>
        <v>15.41200000000001</v>
      </c>
      <c r="B34" s="164">
        <f>T_0*(1+10^('Meas. Noise Std'!AA35/10))</f>
        <v>1207.0605214488303</v>
      </c>
      <c r="C34" s="164">
        <f t="shared" si="0"/>
        <v>298</v>
      </c>
      <c r="D34" s="86">
        <f t="shared" si="1"/>
        <v>298</v>
      </c>
      <c r="E34" s="164">
        <f>IF(UsePreamp,T_0*(10^(Preamp!AE35/10)-1),0)</f>
        <v>438.4470651377784</v>
      </c>
      <c r="F34" s="164">
        <f>T_0*(10^((FieldFox!B34-kT0dB)/10)-1)</f>
        <v>11189.742086492277</v>
      </c>
      <c r="G34" s="86">
        <f>IF(UsePreamp,10^(Preamp!AD35/10),1)</f>
        <v>102.49719962814743</v>
      </c>
      <c r="H34" s="86">
        <f>T_0*(10^(DUT!AE35/10)-1)</f>
        <v>438.4470651377784</v>
      </c>
      <c r="I34" s="86">
        <f>10^(DUT!AD35/10)</f>
        <v>100</v>
      </c>
      <c r="J34" s="87">
        <f t="shared" si="2"/>
        <v>8.3404769968813031E-7</v>
      </c>
      <c r="K34" s="87">
        <f t="shared" si="3"/>
        <v>3.7480645763139622E-7</v>
      </c>
      <c r="L34" s="87">
        <f t="shared" si="4"/>
        <v>5.6620116906862111E-10</v>
      </c>
      <c r="M34" s="87">
        <f>IF(UseUserCal,Calibration!M34,0)</f>
        <v>2.2149567605146193E-9</v>
      </c>
      <c r="N34" s="87">
        <f>IF(UseUserCal,Calibration!L34,1)</f>
        <v>102.49719962814743</v>
      </c>
      <c r="O34" s="165">
        <f t="shared" si="5"/>
        <v>438.44706513777834</v>
      </c>
      <c r="P34" s="86">
        <f t="shared" si="6"/>
        <v>100.00000000000003</v>
      </c>
      <c r="Q34" s="170">
        <f t="shared" si="7"/>
        <v>6.0978555335824504E-7</v>
      </c>
      <c r="R34" s="87">
        <f t="shared" si="8"/>
        <v>2.2149567605146183E-7</v>
      </c>
      <c r="S34" s="87">
        <f t="shared" si="39"/>
        <v>3583037327.5104833</v>
      </c>
      <c r="T34" s="87">
        <f t="shared" si="9"/>
        <v>1603553696.2548089</v>
      </c>
      <c r="U34" s="87">
        <f t="shared" si="10"/>
        <v>0.81008686858279477</v>
      </c>
      <c r="V34" s="87">
        <f t="shared" si="11"/>
        <v>-1.8100868685827947</v>
      </c>
      <c r="W34" s="87">
        <f t="shared" si="12"/>
        <v>9.7563641116823571E-5</v>
      </c>
      <c r="X34" s="87">
        <f t="shared" si="40"/>
        <v>1979483631.2556748</v>
      </c>
      <c r="Y34" s="86">
        <f>FieldFox!AG34</f>
        <v>0.1</v>
      </c>
      <c r="Z34" s="86">
        <f>FieldFox!AF34</f>
        <v>0.1</v>
      </c>
      <c r="AA34" s="86">
        <f>FieldFox!AH34</f>
        <v>0.1</v>
      </c>
      <c r="AB34" s="87">
        <f t="shared" si="41"/>
        <v>1.3389238540091567E-3</v>
      </c>
      <c r="AC34" s="87">
        <f t="shared" si="13"/>
        <v>1.3389238540091567E-3</v>
      </c>
      <c r="AD34" s="87">
        <f t="shared" si="14"/>
        <v>1.3389238540091567E-3</v>
      </c>
      <c r="AE34" s="87">
        <f>DUT!AF35</f>
        <v>0.2</v>
      </c>
      <c r="AF34" s="4">
        <f t="shared" si="42"/>
        <v>0.40853898265363492</v>
      </c>
      <c r="AG34" s="4">
        <f>'Meas. Noise Std'!AC35</f>
        <v>0.1</v>
      </c>
      <c r="AH34" s="4">
        <f>'Meas. Noise Std'!AD35</f>
        <v>1</v>
      </c>
      <c r="AI34" s="4">
        <f>DUT!AH35</f>
        <v>0</v>
      </c>
      <c r="AJ34" s="166">
        <f t="shared" si="15"/>
        <v>1.6341559306145403E-2</v>
      </c>
      <c r="AK34" s="166">
        <f t="shared" si="16"/>
        <v>0</v>
      </c>
      <c r="AL34" s="163">
        <f t="shared" si="43"/>
        <v>1.6341559306145403E-2</v>
      </c>
      <c r="AM34" s="4">
        <f t="shared" si="17"/>
        <v>0</v>
      </c>
      <c r="AN34" s="4">
        <f>DUT!AG35</f>
        <v>0.31622776601683794</v>
      </c>
      <c r="AO34" s="4">
        <f>IF(AND(UsePreamp,UseUserCal),Preamp!AF35,0)</f>
        <v>0.3981071705534972</v>
      </c>
      <c r="AP34" s="4">
        <f t="shared" si="44"/>
        <v>0.40853898265363492</v>
      </c>
      <c r="AQ34" s="88">
        <f t="shared" si="18"/>
        <v>1.7981018024560755</v>
      </c>
      <c r="AR34" s="88">
        <f t="shared" si="19"/>
        <v>0</v>
      </c>
      <c r="AS34" s="88">
        <f t="shared" si="45"/>
        <v>1.7981018024560755</v>
      </c>
      <c r="AT34" s="88">
        <f t="shared" si="20"/>
        <v>1.7907306830751786</v>
      </c>
      <c r="AU34" s="88">
        <f t="shared" si="21"/>
        <v>15.979166893472003</v>
      </c>
      <c r="AV34" s="88">
        <f t="shared" si="46"/>
        <v>16.079194351357863</v>
      </c>
      <c r="AW34" s="88">
        <f>X34*Calibration!AT34*UseUserCal</f>
        <v>0.22842499658818291</v>
      </c>
      <c r="AX34" s="88">
        <f t="shared" si="22"/>
        <v>1.5006470385641141E-3</v>
      </c>
      <c r="AY34" s="167">
        <f t="shared" si="47"/>
        <v>0.22842992581499852</v>
      </c>
      <c r="AZ34" s="88">
        <f>U34*B34*(10^('Meas. Noise Std'!AB35/(ENRconf*10))-1)</f>
        <v>11.322666869658068</v>
      </c>
      <c r="BA34" s="88">
        <f t="shared" si="23"/>
        <v>0</v>
      </c>
      <c r="BB34" s="88">
        <f t="shared" si="24"/>
        <v>0</v>
      </c>
      <c r="BC34" s="88">
        <f t="shared" si="48"/>
        <v>0</v>
      </c>
      <c r="BD34" s="88">
        <f t="shared" si="25"/>
        <v>19.749142420697527</v>
      </c>
      <c r="BE34" s="4">
        <f t="shared" si="26"/>
        <v>39.498284841395055</v>
      </c>
      <c r="BF34" s="4">
        <f t="shared" si="27"/>
        <v>0.22932317123479512</v>
      </c>
      <c r="BG34" s="88">
        <f t="shared" si="28"/>
        <v>477.94534997917339</v>
      </c>
      <c r="BH34" s="88">
        <f t="shared" si="29"/>
        <v>398.94878029638329</v>
      </c>
      <c r="BI34" s="86">
        <f t="shared" si="30"/>
        <v>5.0753871668057871</v>
      </c>
      <c r="BJ34" s="86">
        <f>10*LOG10(($O34+NseMeas!T_0+BI34)/($O34+NseMeas!T_0))</f>
        <v>3.0154137537646248E-2</v>
      </c>
      <c r="BK34" s="86">
        <f t="shared" si="31"/>
        <v>31.958333786944007</v>
      </c>
      <c r="BL34" s="86">
        <f>10*LOG10(($O34+NseMeas!T_0+BK34)/($O34+NseMeas!T_0))</f>
        <v>0.18647193822712499</v>
      </c>
      <c r="BM34" s="86">
        <f t="shared" si="32"/>
        <v>22.645333739316136</v>
      </c>
      <c r="BN34" s="86">
        <f>10*LOG10(($O34+NseMeas!T_0+BM34)/($O34+NseMeas!T_0))</f>
        <v>0.13295369004114335</v>
      </c>
      <c r="BO34" s="86">
        <f t="shared" si="33"/>
        <v>0.45684999317636582</v>
      </c>
      <c r="BP34" s="86">
        <f>10*LOG10(($O34+NseMeas!T_0+BO34)/($O34+NseMeas!T_0))</f>
        <v>2.7228504358856264E-3</v>
      </c>
      <c r="BQ34" s="86">
        <f t="shared" si="34"/>
        <v>0</v>
      </c>
      <c r="BR34" s="86">
        <f>10*LOG10(($O34+NseMeas!T_0+BQ34)/($O34+NseMeas!T_0))</f>
        <v>0</v>
      </c>
      <c r="BT34" s="86">
        <f t="shared" si="35"/>
        <v>0</v>
      </c>
      <c r="BU34" s="86">
        <f>10*LOG10(($O34+NseMeas!T_0+BT34)/($O34+NseMeas!T_0))</f>
        <v>0</v>
      </c>
      <c r="BV34" s="86">
        <f t="shared" si="36"/>
        <v>31.958333786944007</v>
      </c>
      <c r="BW34" s="86">
        <f>10*LOG10(($O34+NseMeas!T_0+BV34)/($O34+NseMeas!T_0))</f>
        <v>0.18647193822712499</v>
      </c>
      <c r="BX34" s="175">
        <f>UseUserCal*X34*Calibration!AM34*nSD</f>
        <v>0</v>
      </c>
      <c r="BY34" s="86">
        <f>10*LOG10(($O34+NseMeas!T_0+BX34)/($O34+NseMeas!T_0))</f>
        <v>0</v>
      </c>
      <c r="BZ34" s="168">
        <f>UseUserCal*X34*Calibration!AP34*nSD</f>
        <v>0.45096991767149253</v>
      </c>
      <c r="CA34" s="86">
        <f>10*LOG10(($O34+NseMeas!T_0+BZ34)/($O34+NseMeas!T_0))</f>
        <v>2.6878157133072068E-3</v>
      </c>
      <c r="CB34" s="4">
        <f t="shared" si="37"/>
        <v>31.961515488230084</v>
      </c>
      <c r="CC34" s="86">
        <f>10*LOG10(($O34+NseMeas!T_0+CB34)/($O34+NseMeas!T_0))</f>
        <v>0.18649011001315774</v>
      </c>
    </row>
    <row r="35" spans="1:81">
      <c r="A35" s="4">
        <f t="shared" si="38"/>
        <v>15.94000000000001</v>
      </c>
      <c r="B35" s="164">
        <f>T_0*(1+10^('Meas. Noise Std'!AA36/10))</f>
        <v>1207.0605214488303</v>
      </c>
      <c r="C35" s="164">
        <f t="shared" si="0"/>
        <v>298</v>
      </c>
      <c r="D35" s="86">
        <f t="shared" si="1"/>
        <v>298</v>
      </c>
      <c r="E35" s="164">
        <f>IF(UsePreamp,T_0*(10^(Preamp!AE36/10)-1),0)</f>
        <v>438.4470651377784</v>
      </c>
      <c r="F35" s="164">
        <f>T_0*(10^((FieldFox!B35-kT0dB)/10)-1)</f>
        <v>11189.742086492277</v>
      </c>
      <c r="G35" s="86">
        <f>IF(UsePreamp,10^(Preamp!AD36/10),1)</f>
        <v>105.78887531675092</v>
      </c>
      <c r="H35" s="86">
        <f>T_0*(10^(DUT!AE36/10)-1)</f>
        <v>438.4470651377784</v>
      </c>
      <c r="I35" s="86">
        <f>10^(DUT!AD36/10)</f>
        <v>100</v>
      </c>
      <c r="J35" s="87">
        <f t="shared" si="2"/>
        <v>8.6081525180188401E-7</v>
      </c>
      <c r="K35" s="87">
        <f t="shared" si="3"/>
        <v>3.8682557527897456E-7</v>
      </c>
      <c r="L35" s="87">
        <f t="shared" si="4"/>
        <v>5.6620116906862111E-10</v>
      </c>
      <c r="M35" s="87">
        <f>IF(UseUserCal,Calibration!M35,0)</f>
        <v>2.2860896241084025E-9</v>
      </c>
      <c r="N35" s="87">
        <f>IF(UseUserCal,Calibration!L35,1)</f>
        <v>105.78887531675092</v>
      </c>
      <c r="O35" s="165">
        <f t="shared" si="5"/>
        <v>438.44706513777828</v>
      </c>
      <c r="P35" s="86">
        <f t="shared" si="6"/>
        <v>100.00000000000004</v>
      </c>
      <c r="Q35" s="170">
        <f t="shared" si="7"/>
        <v>6.293686862490265E-7</v>
      </c>
      <c r="R35" s="87">
        <f t="shared" si="8"/>
        <v>2.2860896241084028E-7</v>
      </c>
      <c r="S35" s="87">
        <f t="shared" si="39"/>
        <v>3471551172.4726706</v>
      </c>
      <c r="T35" s="87">
        <f t="shared" si="9"/>
        <v>1553660200.4213152</v>
      </c>
      <c r="U35" s="87">
        <f t="shared" si="10"/>
        <v>0.8100878637327007</v>
      </c>
      <c r="V35" s="87">
        <f t="shared" si="11"/>
        <v>-1.8100878637327005</v>
      </c>
      <c r="W35" s="87">
        <f t="shared" si="12"/>
        <v>9.4527897853703412E-5</v>
      </c>
      <c r="X35" s="87">
        <f t="shared" si="40"/>
        <v>1917890972.0513554</v>
      </c>
      <c r="Y35" s="86">
        <f>FieldFox!AG35</f>
        <v>0.1</v>
      </c>
      <c r="Z35" s="86">
        <f>FieldFox!AF35</f>
        <v>0.1</v>
      </c>
      <c r="AA35" s="86">
        <f>FieldFox!AH35</f>
        <v>0.1</v>
      </c>
      <c r="AB35" s="87">
        <f t="shared" si="41"/>
        <v>1.3389238540091567E-3</v>
      </c>
      <c r="AC35" s="87">
        <f t="shared" si="13"/>
        <v>1.3389238540091567E-3</v>
      </c>
      <c r="AD35" s="87">
        <f t="shared" si="14"/>
        <v>1.3389238540091567E-3</v>
      </c>
      <c r="AE35" s="87">
        <f>DUT!AF36</f>
        <v>0.2</v>
      </c>
      <c r="AF35" s="4">
        <f t="shared" si="42"/>
        <v>0.40853898265363492</v>
      </c>
      <c r="AG35" s="4">
        <f>'Meas. Noise Std'!AC36</f>
        <v>0.1</v>
      </c>
      <c r="AH35" s="4">
        <f>'Meas. Noise Std'!AD36</f>
        <v>1</v>
      </c>
      <c r="AI35" s="4">
        <f>DUT!AH36</f>
        <v>0</v>
      </c>
      <c r="AJ35" s="166">
        <f t="shared" si="15"/>
        <v>1.6341559306145403E-2</v>
      </c>
      <c r="AK35" s="166">
        <f t="shared" si="16"/>
        <v>0</v>
      </c>
      <c r="AL35" s="163">
        <f t="shared" si="43"/>
        <v>1.6341559306145403E-2</v>
      </c>
      <c r="AM35" s="4">
        <f t="shared" si="17"/>
        <v>0</v>
      </c>
      <c r="AN35" s="4">
        <f>DUT!AG36</f>
        <v>0.31622776601683794</v>
      </c>
      <c r="AO35" s="4">
        <f>IF(AND(UsePreamp,UseUserCal),Preamp!AF36,0)</f>
        <v>0.3981071705534972</v>
      </c>
      <c r="AP35" s="4">
        <f t="shared" si="44"/>
        <v>0.40853898265363492</v>
      </c>
      <c r="AQ35" s="88">
        <f t="shared" si="18"/>
        <v>1.7980204643273485</v>
      </c>
      <c r="AR35" s="88">
        <f t="shared" si="19"/>
        <v>0</v>
      </c>
      <c r="AS35" s="88">
        <f t="shared" si="45"/>
        <v>1.7980204643273485</v>
      </c>
      <c r="AT35" s="88">
        <f t="shared" si="20"/>
        <v>1.7906960383568811</v>
      </c>
      <c r="AU35" s="88">
        <f t="shared" si="21"/>
        <v>15.97918652305378</v>
      </c>
      <c r="AV35" s="88">
        <f t="shared" si="46"/>
        <v>16.079210000504705</v>
      </c>
      <c r="AW35" s="88">
        <f>X35*Calibration!AT35*UseUserCal</f>
        <v>0.22842492598887595</v>
      </c>
      <c r="AX35" s="88">
        <f t="shared" si="22"/>
        <v>1.4539536281348402E-3</v>
      </c>
      <c r="AY35" s="167">
        <f t="shared" si="47"/>
        <v>0.22842955324164216</v>
      </c>
      <c r="AZ35" s="88">
        <f>U35*B35*(10^('Meas. Noise Std'!AB36/(ENRconf*10))-1)</f>
        <v>11.322680778969906</v>
      </c>
      <c r="BA35" s="88">
        <f t="shared" si="23"/>
        <v>0</v>
      </c>
      <c r="BB35" s="88">
        <f t="shared" si="24"/>
        <v>0</v>
      </c>
      <c r="BC35" s="88">
        <f t="shared" si="48"/>
        <v>0</v>
      </c>
      <c r="BD35" s="88">
        <f t="shared" si="25"/>
        <v>19.749155726605611</v>
      </c>
      <c r="BE35" s="4">
        <f t="shared" si="26"/>
        <v>39.498311453211222</v>
      </c>
      <c r="BF35" s="4">
        <f t="shared" si="27"/>
        <v>0.22932332173202424</v>
      </c>
      <c r="BG35" s="88">
        <f t="shared" si="28"/>
        <v>477.9453765909895</v>
      </c>
      <c r="BH35" s="88">
        <f t="shared" si="29"/>
        <v>398.94875368456707</v>
      </c>
      <c r="BI35" s="86">
        <f t="shared" si="30"/>
        <v>5.0752229530959978</v>
      </c>
      <c r="BJ35" s="86">
        <f>10*LOG10(($O35+NseMeas!T_0+BI35)/($O35+NseMeas!T_0))</f>
        <v>3.0153165282254354E-2</v>
      </c>
      <c r="BK35" s="86">
        <f t="shared" si="31"/>
        <v>31.95837304610756</v>
      </c>
      <c r="BL35" s="86">
        <f>10*LOG10(($O35+NseMeas!T_0+BK35)/($O35+NseMeas!T_0))</f>
        <v>0.1864721624501206</v>
      </c>
      <c r="BM35" s="86">
        <f t="shared" si="32"/>
        <v>22.645361557939811</v>
      </c>
      <c r="BN35" s="86">
        <f>10*LOG10(($O35+NseMeas!T_0+BM35)/($O35+NseMeas!T_0))</f>
        <v>0.13295385089318446</v>
      </c>
      <c r="BO35" s="86">
        <f t="shared" si="33"/>
        <v>0.45684985197775191</v>
      </c>
      <c r="BP35" s="86">
        <f>10*LOG10(($O35+NseMeas!T_0+BO35)/($O35+NseMeas!T_0))</f>
        <v>2.7228495945977975E-3</v>
      </c>
      <c r="BQ35" s="86">
        <f t="shared" si="34"/>
        <v>0</v>
      </c>
      <c r="BR35" s="86">
        <f>10*LOG10(($O35+NseMeas!T_0+BQ35)/($O35+NseMeas!T_0))</f>
        <v>0</v>
      </c>
      <c r="BT35" s="86">
        <f t="shared" si="35"/>
        <v>0</v>
      </c>
      <c r="BU35" s="86">
        <f>10*LOG10(($O35+NseMeas!T_0+BT35)/($O35+NseMeas!T_0))</f>
        <v>0</v>
      </c>
      <c r="BV35" s="86">
        <f t="shared" si="36"/>
        <v>31.95837304610756</v>
      </c>
      <c r="BW35" s="86">
        <f>10*LOG10(($O35+NseMeas!T_0+BV35)/($O35+NseMeas!T_0))</f>
        <v>0.1864721624501206</v>
      </c>
      <c r="BX35" s="175">
        <f>UseUserCal*X35*Calibration!AM35*nSD</f>
        <v>0</v>
      </c>
      <c r="BY35" s="86">
        <f>10*LOG10(($O35+NseMeas!T_0+BX35)/($O35+NseMeas!T_0))</f>
        <v>0</v>
      </c>
      <c r="BZ35" s="168">
        <f>UseUserCal*X35*Calibration!AP35*nSD</f>
        <v>0.45096991767149247</v>
      </c>
      <c r="CA35" s="86">
        <f>10*LOG10(($O35+NseMeas!T_0+BZ35)/($O35+NseMeas!T_0))</f>
        <v>2.6878157133072068E-3</v>
      </c>
      <c r="CB35" s="4">
        <f t="shared" si="37"/>
        <v>31.961554743485475</v>
      </c>
      <c r="CC35" s="86">
        <f>10*LOG10(($O35+NseMeas!T_0+CB35)/($O35+NseMeas!T_0))</f>
        <v>0.1864903342128944</v>
      </c>
    </row>
    <row r="36" spans="1:81">
      <c r="A36" s="4">
        <f t="shared" si="38"/>
        <v>16.468000000000011</v>
      </c>
      <c r="B36" s="164">
        <f>T_0*(1+10^('Meas. Noise Std'!AA37/10))</f>
        <v>1207.0605214488303</v>
      </c>
      <c r="C36" s="164">
        <f t="shared" si="0"/>
        <v>298</v>
      </c>
      <c r="D36" s="86">
        <f t="shared" si="1"/>
        <v>298</v>
      </c>
      <c r="E36" s="164">
        <f>IF(UsePreamp,T_0*(10^(Preamp!AE37/10)-1),0)</f>
        <v>438.4470651377784</v>
      </c>
      <c r="F36" s="164">
        <f>T_0*(10^((FieldFox!B36-kT0dB)/10)-1)</f>
        <v>11189.742086492277</v>
      </c>
      <c r="G36" s="86">
        <f>IF(UsePreamp,10^(Preamp!AD37/10),1)</f>
        <v>109.18626246750405</v>
      </c>
      <c r="H36" s="86">
        <f>T_0*(10^(DUT!AE37/10)-1)</f>
        <v>438.4470651377784</v>
      </c>
      <c r="I36" s="86">
        <f>10^(DUT!AD37/10)</f>
        <v>100</v>
      </c>
      <c r="J36" s="87">
        <f t="shared" si="2"/>
        <v>8.8844243813838563E-7</v>
      </c>
      <c r="K36" s="87">
        <f t="shared" si="3"/>
        <v>3.9923068432439107E-7</v>
      </c>
      <c r="L36" s="87">
        <f t="shared" si="4"/>
        <v>5.6620116906862111E-10</v>
      </c>
      <c r="M36" s="87">
        <f>IF(UseUserCal,Calibration!M36,0)</f>
        <v>2.3595069044335881E-9</v>
      </c>
      <c r="N36" s="87">
        <f>IF(UseUserCal,Calibration!L36,1)</f>
        <v>109.18626246750405</v>
      </c>
      <c r="O36" s="165">
        <f t="shared" si="5"/>
        <v>438.44706513777862</v>
      </c>
      <c r="P36" s="86">
        <f t="shared" si="6"/>
        <v>99.999999999999986</v>
      </c>
      <c r="Q36" s="170">
        <f t="shared" si="7"/>
        <v>6.4958072727268454E-7</v>
      </c>
      <c r="R36" s="87">
        <f t="shared" si="8"/>
        <v>2.3595069044335881E-7</v>
      </c>
      <c r="S36" s="87">
        <f t="shared" si="39"/>
        <v>3363533850.0094104</v>
      </c>
      <c r="T36" s="87">
        <f t="shared" si="9"/>
        <v>1505319049.6461537</v>
      </c>
      <c r="U36" s="87">
        <f t="shared" si="10"/>
        <v>0.81008882791800174</v>
      </c>
      <c r="V36" s="87">
        <f t="shared" si="11"/>
        <v>-1.8100888279180019</v>
      </c>
      <c r="W36" s="87">
        <f t="shared" si="12"/>
        <v>9.1586613315719975E-5</v>
      </c>
      <c r="X36" s="87">
        <f t="shared" si="40"/>
        <v>1858214800.3632562</v>
      </c>
      <c r="Y36" s="86">
        <f>FieldFox!AG36</f>
        <v>0.1</v>
      </c>
      <c r="Z36" s="86">
        <f>FieldFox!AF36</f>
        <v>0.1</v>
      </c>
      <c r="AA36" s="86">
        <f>FieldFox!AH36</f>
        <v>0.1</v>
      </c>
      <c r="AB36" s="87">
        <f t="shared" si="41"/>
        <v>1.3389238540091567E-3</v>
      </c>
      <c r="AC36" s="87">
        <f t="shared" si="13"/>
        <v>1.3389238540091567E-3</v>
      </c>
      <c r="AD36" s="87">
        <f t="shared" si="14"/>
        <v>1.3389238540091567E-3</v>
      </c>
      <c r="AE36" s="87">
        <f>DUT!AF37</f>
        <v>0.2</v>
      </c>
      <c r="AF36" s="4">
        <f t="shared" si="42"/>
        <v>0.40853898265363492</v>
      </c>
      <c r="AG36" s="4">
        <f>'Meas. Noise Std'!AC37</f>
        <v>0.1</v>
      </c>
      <c r="AH36" s="4">
        <f>'Meas. Noise Std'!AD37</f>
        <v>1</v>
      </c>
      <c r="AI36" s="4">
        <f>DUT!AH37</f>
        <v>0</v>
      </c>
      <c r="AJ36" s="166">
        <f t="shared" si="15"/>
        <v>1.6341559306145403E-2</v>
      </c>
      <c r="AK36" s="166">
        <f t="shared" si="16"/>
        <v>0</v>
      </c>
      <c r="AL36" s="163">
        <f t="shared" si="43"/>
        <v>1.6341559306145403E-2</v>
      </c>
      <c r="AM36" s="4">
        <f t="shared" si="17"/>
        <v>0</v>
      </c>
      <c r="AN36" s="4">
        <f>DUT!AG37</f>
        <v>0.31622776601683794</v>
      </c>
      <c r="AO36" s="4">
        <f>IF(AND(UsePreamp,UseUserCal),Preamp!AF37,0)</f>
        <v>0.3981071705534972</v>
      </c>
      <c r="AP36" s="4">
        <f t="shared" si="44"/>
        <v>0.40853898265363492</v>
      </c>
      <c r="AQ36" s="88">
        <f t="shared" si="18"/>
        <v>1.7979416569903157</v>
      </c>
      <c r="AR36" s="88">
        <f t="shared" si="19"/>
        <v>0</v>
      </c>
      <c r="AS36" s="88">
        <f t="shared" si="45"/>
        <v>1.7979416569903157</v>
      </c>
      <c r="AT36" s="88">
        <f t="shared" si="20"/>
        <v>1.7906624715406092</v>
      </c>
      <c r="AU36" s="88">
        <f t="shared" si="21"/>
        <v>15.979205541850952</v>
      </c>
      <c r="AV36" s="88">
        <f t="shared" si="46"/>
        <v>16.079225162790156</v>
      </c>
      <c r="AW36" s="88">
        <f>X36*Calibration!AT36*UseUserCal</f>
        <v>0.22842485795115305</v>
      </c>
      <c r="AX36" s="88">
        <f t="shared" si="22"/>
        <v>1.4087131073734827E-3</v>
      </c>
      <c r="AY36" s="167">
        <f t="shared" si="47"/>
        <v>0.2284292017291645</v>
      </c>
      <c r="AZ36" s="88">
        <f>U36*B36*(10^('Meas. Noise Std'!AB37/(ENRconf*10))-1)</f>
        <v>11.322694255486299</v>
      </c>
      <c r="BA36" s="88">
        <f t="shared" si="23"/>
        <v>0</v>
      </c>
      <c r="BB36" s="88">
        <f t="shared" si="24"/>
        <v>0</v>
      </c>
      <c r="BC36" s="88">
        <f t="shared" si="48"/>
        <v>0</v>
      </c>
      <c r="BD36" s="88">
        <f t="shared" si="25"/>
        <v>19.7491686189842</v>
      </c>
      <c r="BE36" s="4">
        <f t="shared" si="26"/>
        <v>39.4983372379684</v>
      </c>
      <c r="BF36" s="4">
        <f t="shared" si="27"/>
        <v>0.22932346755199917</v>
      </c>
      <c r="BG36" s="88">
        <f t="shared" si="28"/>
        <v>477.94540237574699</v>
      </c>
      <c r="BH36" s="88">
        <f t="shared" si="29"/>
        <v>398.94872789981025</v>
      </c>
      <c r="BI36" s="86">
        <f t="shared" si="30"/>
        <v>5.0750638511835984</v>
      </c>
      <c r="BJ36" s="86">
        <f>10*LOG10(($O36+NseMeas!T_0+BI36)/($O36+NseMeas!T_0))</f>
        <v>3.0152223291925361E-2</v>
      </c>
      <c r="BK36" s="86">
        <f t="shared" si="31"/>
        <v>31.958411083701904</v>
      </c>
      <c r="BL36" s="86">
        <f>10*LOG10(($O36+NseMeas!T_0+BK36)/($O36+NseMeas!T_0))</f>
        <v>0.1864723796962903</v>
      </c>
      <c r="BM36" s="86">
        <f t="shared" si="32"/>
        <v>22.645388510972598</v>
      </c>
      <c r="BN36" s="86">
        <f>10*LOG10(($O36+NseMeas!T_0+BM36)/($O36+NseMeas!T_0))</f>
        <v>0.13295400674022506</v>
      </c>
      <c r="BO36" s="86">
        <f t="shared" si="33"/>
        <v>0.45684971590230611</v>
      </c>
      <c r="BP36" s="86">
        <f>10*LOG10(($O36+NseMeas!T_0+BO36)/($O36+NseMeas!T_0))</f>
        <v>2.7228487838358963E-3</v>
      </c>
      <c r="BQ36" s="86">
        <f t="shared" si="34"/>
        <v>0</v>
      </c>
      <c r="BR36" s="86">
        <f>10*LOG10(($O36+NseMeas!T_0+BQ36)/($O36+NseMeas!T_0))</f>
        <v>0</v>
      </c>
      <c r="BT36" s="86">
        <f t="shared" si="35"/>
        <v>0</v>
      </c>
      <c r="BU36" s="86">
        <f>10*LOG10(($O36+NseMeas!T_0+BT36)/($O36+NseMeas!T_0))</f>
        <v>0</v>
      </c>
      <c r="BV36" s="86">
        <f t="shared" si="36"/>
        <v>31.958411083701904</v>
      </c>
      <c r="BW36" s="86">
        <f>10*LOG10(($O36+NseMeas!T_0+BV36)/($O36+NseMeas!T_0))</f>
        <v>0.1864723796962903</v>
      </c>
      <c r="BX36" s="175">
        <f>UseUserCal*X36*Calibration!AM36*nSD</f>
        <v>0</v>
      </c>
      <c r="BY36" s="86">
        <f>10*LOG10(($O36+NseMeas!T_0+BX36)/($O36+NseMeas!T_0))</f>
        <v>0</v>
      </c>
      <c r="BZ36" s="168">
        <f>UseUserCal*X36*Calibration!AP36*nSD</f>
        <v>0.4509699176714928</v>
      </c>
      <c r="CA36" s="86">
        <f>10*LOG10(($O36+NseMeas!T_0+BZ36)/($O36+NseMeas!T_0))</f>
        <v>2.6878157133072068E-3</v>
      </c>
      <c r="CB36" s="4">
        <f t="shared" si="37"/>
        <v>31.961592777293269</v>
      </c>
      <c r="CC36" s="86">
        <f>10*LOG10(($O36+NseMeas!T_0+CB36)/($O36+NseMeas!T_0))</f>
        <v>0.1864905514365291</v>
      </c>
    </row>
    <row r="37" spans="1:81">
      <c r="A37" s="4">
        <f t="shared" si="38"/>
        <v>16.996000000000009</v>
      </c>
      <c r="B37" s="164">
        <f>T_0*(1+10^('Meas. Noise Std'!AA38/10))</f>
        <v>1207.0605214488303</v>
      </c>
      <c r="C37" s="164">
        <f t="shared" ref="C37:C68" si="49">MeasAmbient</f>
        <v>298</v>
      </c>
      <c r="D37" s="86">
        <f t="shared" ref="D37:D68" si="50">MeasAmbient+FFAmbientOffset</f>
        <v>298</v>
      </c>
      <c r="E37" s="164">
        <f>IF(UsePreamp,T_0*(10^(Preamp!AE38/10)-1),0)</f>
        <v>438.4470651377784</v>
      </c>
      <c r="F37" s="164">
        <f>T_0*(10^((FieldFox!B37-kT0dB)/10)-1)</f>
        <v>11189.742086492277</v>
      </c>
      <c r="G37" s="86">
        <f>IF(UsePreamp,10^(Preamp!AD38/10),1)</f>
        <v>112.6927559814504</v>
      </c>
      <c r="H37" s="86">
        <f>T_0*(10^(DUT!AE38/10)-1)</f>
        <v>438.4470651377784</v>
      </c>
      <c r="I37" s="86">
        <f>10^(DUT!AD38/10)</f>
        <v>100</v>
      </c>
      <c r="J37" s="87">
        <f t="shared" ref="J37:J68" si="51">(((B37+H37)*I37+E37)*G37+F37)*k_mw*$F$2</f>
        <v>9.1695686566721641E-7</v>
      </c>
      <c r="K37" s="87">
        <f t="shared" ref="K37:K68" si="52">(((C37+H37)*I37+E37)*G37+F37)*k_mw*$F$2</f>
        <v>4.1203418079900018E-7</v>
      </c>
      <c r="L37" s="87">
        <f t="shared" ref="L37:L68" si="53">MIN(K37,(D37+F37)*k_mw*$F$2)</f>
        <v>5.6620116906862111E-10</v>
      </c>
      <c r="M37" s="87">
        <f>IF(UseUserCal,Calibration!M37,0)</f>
        <v>2.4352819650459096E-9</v>
      </c>
      <c r="N37" s="87">
        <f>IF(UseUserCal,Calibration!L37,1)</f>
        <v>112.69275598145042</v>
      </c>
      <c r="O37" s="165">
        <f t="shared" ref="O37:O68" si="54">(B37*K37-C37*J37-(B37-C37)*(M37+L37-C37*k_mw*$F$2))/(J37-K37)</f>
        <v>438.44706513777805</v>
      </c>
      <c r="P37" s="86">
        <f t="shared" ref="P37:P68" si="55">(J37-K37)/(B37-C37)/k_mw/$F$2/N37</f>
        <v>100.00000000000003</v>
      </c>
      <c r="Q37" s="170">
        <f t="shared" ref="Q37:Q68" si="56">B37*I37*G37*k_mw*BW</f>
        <v>6.7044187367967081E-7</v>
      </c>
      <c r="R37" s="87">
        <f t="shared" ref="R37:R68" si="57">H37*I37*G37*k_mw*BW</f>
        <v>2.43528196504591E-7</v>
      </c>
      <c r="S37" s="87">
        <f t="shared" ref="S37:S68" si="58">(B37-C37)*(J37-M37-L37)/((J37-K37)^2)</f>
        <v>3258877432.7603464</v>
      </c>
      <c r="T37" s="87">
        <f t="shared" ref="T37:T68" si="59">(B37-C37)*(K37-M37-L37)/((J37-K37)^2)</f>
        <v>1458481949.0714066</v>
      </c>
      <c r="U37" s="87">
        <f t="shared" ref="U37:U68" si="60">(K37-(L37+M37))/(J37-K37)</f>
        <v>0.81008976210217676</v>
      </c>
      <c r="V37" s="87">
        <f t="shared" ref="V37:V68" si="61">(-J37+(L37+M37))/(J37-K37)</f>
        <v>-1.8100897621021768</v>
      </c>
      <c r="W37" s="87">
        <f t="shared" ref="W37:W68" si="62">(B37-C37)*k_mw*BW/(J37-K37)</f>
        <v>8.8736848370679926E-5</v>
      </c>
      <c r="X37" s="87">
        <f t="shared" ref="X37:X68" si="63">(B37-C37)/(J37-K37)</f>
        <v>1800395483.6889398</v>
      </c>
      <c r="Y37" s="86">
        <f>FieldFox!AG37</f>
        <v>0.1</v>
      </c>
      <c r="Z37" s="86">
        <f>FieldFox!AF37</f>
        <v>0.1</v>
      </c>
      <c r="AA37" s="86">
        <f>FieldFox!AH37</f>
        <v>0.1</v>
      </c>
      <c r="AB37" s="87">
        <f t="shared" ref="AB37:AB68" si="64">Jitter1H1s/SQRT(BW*Y37)</f>
        <v>1.3389238540091567E-3</v>
      </c>
      <c r="AC37" s="87">
        <f t="shared" ref="AC37:AC68" si="65">Jitter1H1s/SQRT(BW*Z37)</f>
        <v>1.3389238540091567E-3</v>
      </c>
      <c r="AD37" s="87">
        <f t="shared" ref="AD37:AD68" si="66">Jitter1H1s/SQRT(BW*AA37)</f>
        <v>1.3389238540091567E-3</v>
      </c>
      <c r="AE37" s="87">
        <f>DUT!AF38</f>
        <v>0.2</v>
      </c>
      <c r="AF37" s="4">
        <f t="shared" ref="AF37:AF68" si="67">DutConf</f>
        <v>0.40853898265363492</v>
      </c>
      <c r="AG37" s="4">
        <f>'Meas. Noise Std'!AC38</f>
        <v>0.1</v>
      </c>
      <c r="AH37" s="4">
        <f>'Meas. Noise Std'!AD38</f>
        <v>1</v>
      </c>
      <c r="AI37" s="4">
        <f>DUT!AH38</f>
        <v>0</v>
      </c>
      <c r="AJ37" s="166">
        <f t="shared" ref="AJ37:AJ68" si="68">2*SQRT(2)*AE37*AF37*AG37*NseSrcConf</f>
        <v>1.6341559306145403E-2</v>
      </c>
      <c r="AK37" s="166">
        <f t="shared" ref="AK37:AK68" si="69">2*SQRT(2)*AG37*NseSrcConf*AI37*AF37</f>
        <v>0</v>
      </c>
      <c r="AL37" s="163">
        <f t="shared" si="43"/>
        <v>1.6341559306145403E-2</v>
      </c>
      <c r="AM37" s="4">
        <f t="shared" ref="AM37:AM68" si="70">2*SQRT(2)*AF37*AH37*AI37*NseSrcConf</f>
        <v>0</v>
      </c>
      <c r="AN37" s="4">
        <f>DUT!AG38</f>
        <v>0.31622776601683794</v>
      </c>
      <c r="AO37" s="4">
        <f>IF(AND(UsePreamp,UseUserCal),Preamp!AF38,0)</f>
        <v>0.3981071705534972</v>
      </c>
      <c r="AP37" s="4">
        <f t="shared" ref="AP37:AP68" si="71">PreampGamConf</f>
        <v>0.40853898265363492</v>
      </c>
      <c r="AQ37" s="88">
        <f t="shared" ref="AQ37:AQ68" si="72">AB37*K37*S37</f>
        <v>1.7978653017033677</v>
      </c>
      <c r="AR37" s="88">
        <f t="shared" ref="AR37:AR68" si="73">AM37*R37*S37</f>
        <v>0</v>
      </c>
      <c r="AS37" s="88">
        <f t="shared" si="45"/>
        <v>1.7978653017033677</v>
      </c>
      <c r="AT37" s="88">
        <f t="shared" ref="AT37:AT68" si="74">AC37*J37*T37</f>
        <v>1.7906299490921702</v>
      </c>
      <c r="AU37" s="88">
        <f t="shared" ref="AU37:AU68" si="75">AL37*Q37*T37</f>
        <v>15.979223968868371</v>
      </c>
      <c r="AV37" s="88">
        <f t="shared" si="46"/>
        <v>16.079239853358843</v>
      </c>
      <c r="AW37" s="88">
        <f>X37*Calibration!AT37*UseUserCal</f>
        <v>0.22842479237295721</v>
      </c>
      <c r="AX37" s="88">
        <f t="shared" ref="AX37:AX68" si="76">X37*AD37*L37</f>
        <v>1.3648802688649502E-3</v>
      </c>
      <c r="AY37" s="167">
        <f t="shared" si="47"/>
        <v>0.22842887004224521</v>
      </c>
      <c r="AZ37" s="88">
        <f>U37*B37*(10^('Meas. Noise Std'!AB38/(ENRconf*10))-1)</f>
        <v>11.32270731267389</v>
      </c>
      <c r="BA37" s="88">
        <f t="shared" ref="BA37:BA68" si="77">TambientDrift*V37</f>
        <v>0</v>
      </c>
      <c r="BB37" s="88">
        <f t="shared" ref="BB37:BB68" si="78">TffDelta*W37</f>
        <v>0</v>
      </c>
      <c r="BC37" s="88">
        <f t="shared" si="48"/>
        <v>0</v>
      </c>
      <c r="BD37" s="88">
        <f t="shared" ref="BD37:BD68" si="79">SQRT((AS37)^2+(AV37)^2+(AZ37)^2+(AY37)^2+BC37^2)</f>
        <v>19.749181110670381</v>
      </c>
      <c r="BE37" s="4">
        <f t="shared" ref="BE37:BE68" si="80">BD37*nSD</f>
        <v>39.498362221340763</v>
      </c>
      <c r="BF37" s="4">
        <f t="shared" ref="BF37:BF68" si="81">10*LOG10((H37+T_0+BE37)/(H37+T_0))</f>
        <v>0.22932360883991609</v>
      </c>
      <c r="BG37" s="88">
        <f t="shared" ref="BG37:BG68" si="82">O37+BE37</f>
        <v>477.94542735911881</v>
      </c>
      <c r="BH37" s="88">
        <f t="shared" ref="BH37:BH68" si="83">MAX(-289,O37-BE37)</f>
        <v>398.9487029164373</v>
      </c>
      <c r="BI37" s="86">
        <f t="shared" ref="BI37:BI68" si="84">SQRT(AX37^2+AT37^2+AQ37^2)*nSD</f>
        <v>5.074909701877627</v>
      </c>
      <c r="BJ37" s="86">
        <f>10*LOG10(($O37+NseMeas!T_0+BI37)/($O37+NseMeas!T_0))</f>
        <v>3.015131062416284E-2</v>
      </c>
      <c r="BK37" s="86">
        <f t="shared" ref="BK37:BK68" si="85">SQRT(AR37^2+AU37^2)*nSD</f>
        <v>31.958447937736743</v>
      </c>
      <c r="BL37" s="86">
        <f>10*LOG10(($O37+NseMeas!T_0+BK37)/($O37+NseMeas!T_0))</f>
        <v>0.18647259018272325</v>
      </c>
      <c r="BM37" s="86">
        <f t="shared" ref="BM37:BM68" si="86">AZ37*nSD</f>
        <v>22.645414625347779</v>
      </c>
      <c r="BN37" s="86">
        <f>10*LOG10(($O37+NseMeas!T_0+BM37)/($O37+NseMeas!T_0))</f>
        <v>0.13295415773799929</v>
      </c>
      <c r="BO37" s="86">
        <f t="shared" ref="BO37:BO68" si="87">AW37*nSD</f>
        <v>0.45684958474591442</v>
      </c>
      <c r="BP37" s="86">
        <f>10*LOG10(($O37+NseMeas!T_0+BO37)/($O37+NseMeas!T_0))</f>
        <v>2.7228480023817766E-3</v>
      </c>
      <c r="BQ37" s="86">
        <f t="shared" ref="BQ37:BQ68" si="88">BC37*nSD</f>
        <v>0</v>
      </c>
      <c r="BR37" s="86">
        <f>10*LOG10(($O37+NseMeas!T_0+BQ37)/($O37+NseMeas!T_0))</f>
        <v>0</v>
      </c>
      <c r="BT37" s="86">
        <f t="shared" ref="BT37:BT68" si="89">AR37*nSD</f>
        <v>0</v>
      </c>
      <c r="BU37" s="86">
        <f>10*LOG10(($O37+NseMeas!T_0+BT37)/($O37+NseMeas!T_0))</f>
        <v>0</v>
      </c>
      <c r="BV37" s="86">
        <f t="shared" ref="BV37:BV68" si="90">AU37*nSD</f>
        <v>31.958447937736743</v>
      </c>
      <c r="BW37" s="86">
        <f>10*LOG10(($O37+NseMeas!T_0+BV37)/($O37+NseMeas!T_0))</f>
        <v>0.18647259018272325</v>
      </c>
      <c r="BX37" s="175">
        <f>UseUserCal*X37*Calibration!AM37*nSD</f>
        <v>0</v>
      </c>
      <c r="BY37" s="86">
        <f>10*LOG10(($O37+NseMeas!T_0+BX37)/($O37+NseMeas!T_0))</f>
        <v>0</v>
      </c>
      <c r="BZ37" s="168">
        <f>UseUserCal*X37*Calibration!AP37*nSD</f>
        <v>0.45096991767149258</v>
      </c>
      <c r="CA37" s="86">
        <f>10*LOG10(($O37+NseMeas!T_0+BZ37)/($O37+NseMeas!T_0))</f>
        <v>2.6878157133072068E-3</v>
      </c>
      <c r="CB37" s="4">
        <f t="shared" ref="CB37:CB68" si="91">SQRT(BT37^2+BV37^2+BX37^2+BZ37^2)</f>
        <v>31.961629627659391</v>
      </c>
      <c r="CC37" s="86">
        <f>10*LOG10(($O37+NseMeas!T_0+CB37)/($O37+NseMeas!T_0))</f>
        <v>0.18649076190112779</v>
      </c>
    </row>
    <row r="38" spans="1:81">
      <c r="A38" s="4">
        <f t="shared" ref="A38:A69" si="92">MIN(StopFreqGHz+0.000001,A37+FreqStep)</f>
        <v>17.524000000000008</v>
      </c>
      <c r="B38" s="164">
        <f>T_0*(1+10^('Meas. Noise Std'!AA39/10))</f>
        <v>1207.0605214488303</v>
      </c>
      <c r="C38" s="164">
        <f t="shared" si="49"/>
        <v>298</v>
      </c>
      <c r="D38" s="86">
        <f t="shared" si="50"/>
        <v>298</v>
      </c>
      <c r="E38" s="164">
        <f>IF(UsePreamp,T_0*(10^(Preamp!AE39/10)-1),0)</f>
        <v>438.4470651377784</v>
      </c>
      <c r="F38" s="164">
        <f>T_0*(10^((FieldFox!B38-kT0dB)/10)-1)</f>
        <v>11189.742086492277</v>
      </c>
      <c r="G38" s="86">
        <f>IF(UsePreamp,10^(Preamp!AD39/10),1)</f>
        <v>116.31185978615582</v>
      </c>
      <c r="H38" s="86">
        <f>T_0*(10^(DUT!AE39/10)-1)</f>
        <v>438.4470651377784</v>
      </c>
      <c r="I38" s="86">
        <f>10^(DUT!AD39/10)</f>
        <v>100</v>
      </c>
      <c r="J38" s="87">
        <f t="shared" si="51"/>
        <v>9.4638702794989145E-7</v>
      </c>
      <c r="K38" s="87">
        <f t="shared" si="52"/>
        <v>4.2524885883005715E-7</v>
      </c>
      <c r="L38" s="87">
        <f t="shared" si="53"/>
        <v>5.6620116906862111E-10</v>
      </c>
      <c r="M38" s="87">
        <f>IF(UseUserCal,Calibration!M38,0)</f>
        <v>2.5134905255560353E-9</v>
      </c>
      <c r="N38" s="87">
        <f>IF(UseUserCal,Calibration!L38,1)</f>
        <v>116.31185978615582</v>
      </c>
      <c r="O38" s="165">
        <f t="shared" si="54"/>
        <v>438.44706513777822</v>
      </c>
      <c r="P38" s="86">
        <f t="shared" si="55"/>
        <v>100.00000000000003</v>
      </c>
      <c r="Q38" s="170">
        <f t="shared" si="56"/>
        <v>6.9197297135082294E-7</v>
      </c>
      <c r="R38" s="87">
        <f t="shared" si="57"/>
        <v>2.5134905255560362E-7</v>
      </c>
      <c r="S38" s="87">
        <f t="shared" si="58"/>
        <v>3157477351.1420603</v>
      </c>
      <c r="T38" s="87">
        <f t="shared" si="59"/>
        <v>1413102106.1198628</v>
      </c>
      <c r="U38" s="87">
        <f t="shared" si="60"/>
        <v>0.81009066721872736</v>
      </c>
      <c r="V38" s="87">
        <f t="shared" si="61"/>
        <v>-1.8100906672187274</v>
      </c>
      <c r="W38" s="87">
        <f t="shared" si="62"/>
        <v>8.5975755339011962E-5</v>
      </c>
      <c r="X38" s="87">
        <f t="shared" si="63"/>
        <v>1744375245.0221975</v>
      </c>
      <c r="Y38" s="86">
        <f>FieldFox!AG38</f>
        <v>0.1</v>
      </c>
      <c r="Z38" s="86">
        <f>FieldFox!AF38</f>
        <v>0.1</v>
      </c>
      <c r="AA38" s="86">
        <f>FieldFox!AH38</f>
        <v>0.1</v>
      </c>
      <c r="AB38" s="87">
        <f t="shared" si="64"/>
        <v>1.3389238540091567E-3</v>
      </c>
      <c r="AC38" s="87">
        <f t="shared" si="65"/>
        <v>1.3389238540091567E-3</v>
      </c>
      <c r="AD38" s="87">
        <f t="shared" si="66"/>
        <v>1.3389238540091567E-3</v>
      </c>
      <c r="AE38" s="87">
        <f>DUT!AF39</f>
        <v>0.2</v>
      </c>
      <c r="AF38" s="4">
        <f t="shared" si="67"/>
        <v>0.40853898265363492</v>
      </c>
      <c r="AG38" s="4">
        <f>'Meas. Noise Std'!AC39</f>
        <v>0.1</v>
      </c>
      <c r="AH38" s="4">
        <f>'Meas. Noise Std'!AD39</f>
        <v>1</v>
      </c>
      <c r="AI38" s="4">
        <f>DUT!AH39</f>
        <v>0</v>
      </c>
      <c r="AJ38" s="166">
        <f t="shared" si="68"/>
        <v>1.6341559306145403E-2</v>
      </c>
      <c r="AK38" s="166">
        <f t="shared" si="69"/>
        <v>0</v>
      </c>
      <c r="AL38" s="163">
        <f t="shared" si="43"/>
        <v>1.6341559306145403E-2</v>
      </c>
      <c r="AM38" s="4">
        <f t="shared" si="70"/>
        <v>0</v>
      </c>
      <c r="AN38" s="4">
        <f>DUT!AG39</f>
        <v>0.31622776601683794</v>
      </c>
      <c r="AO38" s="4">
        <f>IF(AND(UsePreamp,UseUserCal),Preamp!AF39,0)</f>
        <v>0.3981071705534972</v>
      </c>
      <c r="AP38" s="4">
        <f t="shared" si="71"/>
        <v>0.40853898265363492</v>
      </c>
      <c r="AQ38" s="88">
        <f t="shared" si="72"/>
        <v>1.7977913221746644</v>
      </c>
      <c r="AR38" s="88">
        <f t="shared" si="73"/>
        <v>0</v>
      </c>
      <c r="AS38" s="88">
        <f t="shared" si="45"/>
        <v>1.7977913221746644</v>
      </c>
      <c r="AT38" s="88">
        <f t="shared" si="74"/>
        <v>1.7905984385204854</v>
      </c>
      <c r="AU38" s="88">
        <f t="shared" si="75"/>
        <v>15.979241822519603</v>
      </c>
      <c r="AV38" s="88">
        <f t="shared" si="46"/>
        <v>16.07925408688449</v>
      </c>
      <c r="AW38" s="88">
        <f>X38*Calibration!AT38*UseUserCal</f>
        <v>0.22842472915677708</v>
      </c>
      <c r="AX38" s="88">
        <f t="shared" si="76"/>
        <v>1.3224113118463089E-3</v>
      </c>
      <c r="AY38" s="167">
        <f t="shared" si="47"/>
        <v>0.22842855701952999</v>
      </c>
      <c r="AZ38" s="88">
        <f>U38*B38*(10^('Meas. Noise Std'!AB39/(ENRconf*10))-1)</f>
        <v>11.322719963580326</v>
      </c>
      <c r="BA38" s="88">
        <f t="shared" si="77"/>
        <v>0</v>
      </c>
      <c r="BB38" s="88">
        <f t="shared" si="78"/>
        <v>0</v>
      </c>
      <c r="BC38" s="88">
        <f t="shared" si="48"/>
        <v>0</v>
      </c>
      <c r="BD38" s="88">
        <f t="shared" si="79"/>
        <v>19.749193214103727</v>
      </c>
      <c r="BE38" s="4">
        <f t="shared" si="80"/>
        <v>39.498386428207453</v>
      </c>
      <c r="BF38" s="4">
        <f t="shared" si="81"/>
        <v>0.2293237457364726</v>
      </c>
      <c r="BG38" s="88">
        <f t="shared" si="82"/>
        <v>477.94545156598565</v>
      </c>
      <c r="BH38" s="88">
        <f t="shared" si="83"/>
        <v>398.9486787095708</v>
      </c>
      <c r="BI38" s="86">
        <f t="shared" si="84"/>
        <v>5.0747603509486856</v>
      </c>
      <c r="BJ38" s="86">
        <f>10*LOG10(($O38+NseMeas!T_0+BI38)/($O38+NseMeas!T_0))</f>
        <v>3.0150426365844071E-2</v>
      </c>
      <c r="BK38" s="86">
        <f t="shared" si="85"/>
        <v>31.958483645039205</v>
      </c>
      <c r="BL38" s="86">
        <f>10*LOG10(($O38+NseMeas!T_0+BK38)/($O38+NseMeas!T_0))</f>
        <v>0.18647279411975171</v>
      </c>
      <c r="BM38" s="86">
        <f t="shared" si="86"/>
        <v>22.645439927160652</v>
      </c>
      <c r="BN38" s="86">
        <f>10*LOG10(($O38+NseMeas!T_0+BM38)/($O38+NseMeas!T_0))</f>
        <v>0.13295430403739397</v>
      </c>
      <c r="BO38" s="86">
        <f t="shared" si="87"/>
        <v>0.45684945831355417</v>
      </c>
      <c r="BP38" s="86">
        <f>10*LOG10(($O38+NseMeas!T_0+BO38)/($O38+NseMeas!T_0))</f>
        <v>2.7228472490741524E-3</v>
      </c>
      <c r="BQ38" s="86">
        <f t="shared" si="88"/>
        <v>0</v>
      </c>
      <c r="BR38" s="86">
        <f>10*LOG10(($O38+NseMeas!T_0+BQ38)/($O38+NseMeas!T_0))</f>
        <v>0</v>
      </c>
      <c r="BT38" s="86">
        <f t="shared" si="89"/>
        <v>0</v>
      </c>
      <c r="BU38" s="86">
        <f>10*LOG10(($O38+NseMeas!T_0+BT38)/($O38+NseMeas!T_0))</f>
        <v>0</v>
      </c>
      <c r="BV38" s="86">
        <f t="shared" si="90"/>
        <v>31.958483645039205</v>
      </c>
      <c r="BW38" s="86">
        <f>10*LOG10(($O38+NseMeas!T_0+BV38)/($O38+NseMeas!T_0))</f>
        <v>0.18647279411975171</v>
      </c>
      <c r="BX38" s="175">
        <f>UseUserCal*X38*Calibration!AM38*nSD</f>
        <v>0</v>
      </c>
      <c r="BY38" s="86">
        <f>10*LOG10(($O38+NseMeas!T_0+BX38)/($O38+NseMeas!T_0))</f>
        <v>0</v>
      </c>
      <c r="BZ38" s="168">
        <f>UseUserCal*X38*Calibration!AP38*nSD</f>
        <v>0.45096991767149247</v>
      </c>
      <c r="CA38" s="86">
        <f>10*LOG10(($O38+NseMeas!T_0+BZ38)/($O38+NseMeas!T_0))</f>
        <v>2.6878157133072068E-3</v>
      </c>
      <c r="CB38" s="4">
        <f t="shared" si="91"/>
        <v>31.961665331407293</v>
      </c>
      <c r="CC38" s="86">
        <f>10*LOG10(($O38+NseMeas!T_0+CB38)/($O38+NseMeas!T_0))</f>
        <v>0.18649096581700164</v>
      </c>
    </row>
    <row r="39" spans="1:81">
      <c r="A39" s="4">
        <f t="shared" si="92"/>
        <v>18.052000000000007</v>
      </c>
      <c r="B39" s="164">
        <f>T_0*(1+10^('Meas. Noise Std'!AA40/10))</f>
        <v>1207.0605214488303</v>
      </c>
      <c r="C39" s="164">
        <f t="shared" si="49"/>
        <v>298</v>
      </c>
      <c r="D39" s="86">
        <f t="shared" si="50"/>
        <v>298</v>
      </c>
      <c r="E39" s="164">
        <f>IF(UsePreamp,T_0*(10^(Preamp!AE40/10)-1),0)</f>
        <v>438.4470651377784</v>
      </c>
      <c r="F39" s="164">
        <f>T_0*(10^((FieldFox!B39-kT0dB)/10)-1)</f>
        <v>14162.139033528121</v>
      </c>
      <c r="G39" s="86">
        <f>IF(UsePreamp,10^(Preamp!AD40/10),1)</f>
        <v>120.04719033707164</v>
      </c>
      <c r="H39" s="86">
        <f>T_0*(10^(DUT!AE40/10)-1)</f>
        <v>438.4470651377784</v>
      </c>
      <c r="I39" s="86">
        <f>10^(DUT!AD40/10)</f>
        <v>100</v>
      </c>
      <c r="J39" s="87">
        <f t="shared" si="51"/>
        <v>9.7690883538930406E-7</v>
      </c>
      <c r="K39" s="87">
        <f t="shared" si="52"/>
        <v>4.3903442520221677E-7</v>
      </c>
      <c r="L39" s="87">
        <f t="shared" si="53"/>
        <v>7.1270294580389457E-10</v>
      </c>
      <c r="M39" s="87">
        <f>IF(UseUserCal,Calibration!M39,0)</f>
        <v>2.5942107372937594E-9</v>
      </c>
      <c r="N39" s="87">
        <f>IF(UseUserCal,Calibration!L39,1)</f>
        <v>120.04719033707167</v>
      </c>
      <c r="O39" s="165">
        <f t="shared" si="54"/>
        <v>438.4470651377784</v>
      </c>
      <c r="P39" s="86">
        <f t="shared" si="55"/>
        <v>99.999999999999972</v>
      </c>
      <c r="Q39" s="170">
        <f t="shared" si="56"/>
        <v>7.1419553562799031E-7</v>
      </c>
      <c r="R39" s="87">
        <f t="shared" si="57"/>
        <v>2.5942107372937595E-7</v>
      </c>
      <c r="S39" s="87">
        <f t="shared" si="58"/>
        <v>3059232288.8959732</v>
      </c>
      <c r="T39" s="87">
        <f t="shared" si="59"/>
        <v>1369134183.7776532</v>
      </c>
      <c r="U39" s="87">
        <f t="shared" si="60"/>
        <v>0.81009154417210771</v>
      </c>
      <c r="V39" s="87">
        <f t="shared" si="61"/>
        <v>-1.8100915441721079</v>
      </c>
      <c r="W39" s="87">
        <f t="shared" si="62"/>
        <v>8.3300575148170808E-5</v>
      </c>
      <c r="X39" s="87">
        <f t="shared" si="63"/>
        <v>1690098105.1183202</v>
      </c>
      <c r="Y39" s="86">
        <f>FieldFox!AG39</f>
        <v>0.1</v>
      </c>
      <c r="Z39" s="86">
        <f>FieldFox!AF39</f>
        <v>0.1</v>
      </c>
      <c r="AA39" s="86">
        <f>FieldFox!AH39</f>
        <v>0.1</v>
      </c>
      <c r="AB39" s="87">
        <f t="shared" si="64"/>
        <v>1.3389238540091567E-3</v>
      </c>
      <c r="AC39" s="87">
        <f t="shared" si="65"/>
        <v>1.3389238540091567E-3</v>
      </c>
      <c r="AD39" s="87">
        <f t="shared" si="66"/>
        <v>1.3389238540091567E-3</v>
      </c>
      <c r="AE39" s="87">
        <f>DUT!AF40</f>
        <v>0.2</v>
      </c>
      <c r="AF39" s="4">
        <f t="shared" si="67"/>
        <v>0.40853898265363492</v>
      </c>
      <c r="AG39" s="4">
        <f>'Meas. Noise Std'!AC40</f>
        <v>0.1</v>
      </c>
      <c r="AH39" s="4">
        <f>'Meas. Noise Std'!AD40</f>
        <v>1</v>
      </c>
      <c r="AI39" s="4">
        <f>DUT!AH40</f>
        <v>0</v>
      </c>
      <c r="AJ39" s="166">
        <f t="shared" si="68"/>
        <v>1.6341559306145403E-2</v>
      </c>
      <c r="AK39" s="166">
        <f t="shared" si="69"/>
        <v>0</v>
      </c>
      <c r="AL39" s="163">
        <f t="shared" si="43"/>
        <v>1.6341559306145403E-2</v>
      </c>
      <c r="AM39" s="4">
        <f t="shared" si="70"/>
        <v>0</v>
      </c>
      <c r="AN39" s="4">
        <f>DUT!AG40</f>
        <v>0.31622776601683794</v>
      </c>
      <c r="AO39" s="4">
        <f>IF(AND(UsePreamp,UseUserCal),Preamp!AF40,0)</f>
        <v>0.3981071705534972</v>
      </c>
      <c r="AP39" s="4">
        <f t="shared" si="71"/>
        <v>0.40853898265363492</v>
      </c>
      <c r="AQ39" s="88">
        <f t="shared" si="72"/>
        <v>1.7983197273497469</v>
      </c>
      <c r="AR39" s="88">
        <f t="shared" si="73"/>
        <v>0</v>
      </c>
      <c r="AS39" s="88">
        <f t="shared" si="45"/>
        <v>1.7983197273497469</v>
      </c>
      <c r="AT39" s="88">
        <f t="shared" si="74"/>
        <v>1.7908364704824358</v>
      </c>
      <c r="AU39" s="88">
        <f t="shared" si="75"/>
        <v>15.979259120645235</v>
      </c>
      <c r="AV39" s="88">
        <f t="shared" si="46"/>
        <v>16.079297786555667</v>
      </c>
      <c r="AW39" s="88">
        <f>X39*Calibration!AT39*UseUserCal</f>
        <v>0.22842517685667843</v>
      </c>
      <c r="AX39" s="88">
        <f t="shared" si="76"/>
        <v>1.6127845249786622E-3</v>
      </c>
      <c r="AY39" s="167">
        <f t="shared" si="47"/>
        <v>0.228430870277922</v>
      </c>
      <c r="AZ39" s="88">
        <f>U39*B39*(10^('Meas. Noise Std'!AB40/(ENRconf*10))-1)</f>
        <v>11.322732220847259</v>
      </c>
      <c r="BA39" s="88">
        <f t="shared" si="77"/>
        <v>0</v>
      </c>
      <c r="BB39" s="88">
        <f t="shared" si="78"/>
        <v>0</v>
      </c>
      <c r="BC39" s="88">
        <f t="shared" si="48"/>
        <v>0</v>
      </c>
      <c r="BD39" s="88">
        <f t="shared" si="79"/>
        <v>19.74928395557717</v>
      </c>
      <c r="BE39" s="4">
        <f t="shared" si="80"/>
        <v>39.498567911154339</v>
      </c>
      <c r="BF39" s="4">
        <f t="shared" si="81"/>
        <v>0.22932477207282045</v>
      </c>
      <c r="BG39" s="88">
        <f t="shared" si="82"/>
        <v>477.94563304893273</v>
      </c>
      <c r="BH39" s="88">
        <f t="shared" si="83"/>
        <v>398.94849722662406</v>
      </c>
      <c r="BI39" s="86">
        <f t="shared" si="84"/>
        <v>5.0758454298211957</v>
      </c>
      <c r="BJ39" s="86">
        <f>10*LOG10(($O39+NseMeas!T_0+BI39)/($O39+NseMeas!T_0))</f>
        <v>3.0156850761163326E-2</v>
      </c>
      <c r="BK39" s="86">
        <f t="shared" si="85"/>
        <v>31.95851824129047</v>
      </c>
      <c r="BL39" s="86">
        <f>10*LOG10(($O39+NseMeas!T_0+BK39)/($O39+NseMeas!T_0))</f>
        <v>0.18647299171116383</v>
      </c>
      <c r="BM39" s="86">
        <f t="shared" si="86"/>
        <v>22.645464441694518</v>
      </c>
      <c r="BN39" s="86">
        <f>10*LOG10(($O39+NseMeas!T_0+BM39)/($O39+NseMeas!T_0))</f>
        <v>0.13295444578460264</v>
      </c>
      <c r="BO39" s="86">
        <f t="shared" si="87"/>
        <v>0.45685035371335686</v>
      </c>
      <c r="BP39" s="86">
        <f>10*LOG10(($O39+NseMeas!T_0+BO39)/($O39+NseMeas!T_0))</f>
        <v>2.722852584032041E-3</v>
      </c>
      <c r="BQ39" s="86">
        <f t="shared" si="88"/>
        <v>0</v>
      </c>
      <c r="BR39" s="86">
        <f>10*LOG10(($O39+NseMeas!T_0+BQ39)/($O39+NseMeas!T_0))</f>
        <v>0</v>
      </c>
      <c r="BT39" s="86">
        <f t="shared" si="89"/>
        <v>0</v>
      </c>
      <c r="BU39" s="86">
        <f>10*LOG10(($O39+NseMeas!T_0+BT39)/($O39+NseMeas!T_0))</f>
        <v>0</v>
      </c>
      <c r="BV39" s="86">
        <f t="shared" si="90"/>
        <v>31.95851824129047</v>
      </c>
      <c r="BW39" s="86">
        <f>10*LOG10(($O39+NseMeas!T_0+BV39)/($O39+NseMeas!T_0))</f>
        <v>0.18647299171116383</v>
      </c>
      <c r="BX39" s="175">
        <f>UseUserCal*X39*Calibration!AM39*nSD</f>
        <v>0</v>
      </c>
      <c r="BY39" s="86">
        <f>10*LOG10(($O39+NseMeas!T_0+BX39)/($O39+NseMeas!T_0))</f>
        <v>0</v>
      </c>
      <c r="BZ39" s="168">
        <f>UseUserCal*X39*Calibration!AP39*nSD</f>
        <v>0.45096991767149264</v>
      </c>
      <c r="CA39" s="86">
        <f>10*LOG10(($O39+NseMeas!T_0+BZ39)/($O39+NseMeas!T_0))</f>
        <v>2.6878157133072068E-3</v>
      </c>
      <c r="CB39" s="4">
        <f t="shared" si="91"/>
        <v>31.96169992421461</v>
      </c>
      <c r="CC39" s="86">
        <f>10*LOG10(($O39+NseMeas!T_0+CB39)/($O39+NseMeas!T_0))</f>
        <v>0.1864911633879176</v>
      </c>
    </row>
    <row r="40" spans="1:81">
      <c r="A40" s="4">
        <f t="shared" si="92"/>
        <v>18.580000000000005</v>
      </c>
      <c r="B40" s="164">
        <f>T_0*(1+10^('Meas. Noise Std'!AA41/10))</f>
        <v>1207.0605214488303</v>
      </c>
      <c r="C40" s="164">
        <f t="shared" si="49"/>
        <v>298</v>
      </c>
      <c r="D40" s="86">
        <f t="shared" si="50"/>
        <v>298</v>
      </c>
      <c r="E40" s="164">
        <f>IF(UsePreamp,T_0*(10^(Preamp!AE41/10)-1),0)</f>
        <v>627.06052144883006</v>
      </c>
      <c r="F40" s="164">
        <f>T_0*(10^((FieldFox!B40-kT0dB)/10)-1)</f>
        <v>14162.139033528121</v>
      </c>
      <c r="G40" s="86">
        <f>IF(UsePreamp,10^(Preamp!AD41/10),1)</f>
        <v>123.90248023134481</v>
      </c>
      <c r="H40" s="86">
        <f>T_0*(10^(DUT!AE41/10)-1)</f>
        <v>438.4470651377784</v>
      </c>
      <c r="I40" s="86">
        <f>10^(DUT!AD41/10)</f>
        <v>100</v>
      </c>
      <c r="J40" s="87">
        <f t="shared" si="51"/>
        <v>1.0094114684989559E-6</v>
      </c>
      <c r="K40" s="87">
        <f t="shared" si="52"/>
        <v>4.5426333643499723E-7</v>
      </c>
      <c r="L40" s="87">
        <f t="shared" si="53"/>
        <v>7.1270294580389457E-10</v>
      </c>
      <c r="M40" s="87">
        <f>IF(UseUserCal,Calibration!M40,0)</f>
        <v>3.8293542504580599E-9</v>
      </c>
      <c r="N40" s="87">
        <f>IF(UseUserCal,Calibration!L40,1)</f>
        <v>123.90248023134481</v>
      </c>
      <c r="O40" s="165">
        <f t="shared" si="54"/>
        <v>438.44706513777817</v>
      </c>
      <c r="P40" s="86">
        <f t="shared" si="55"/>
        <v>100.00000000000001</v>
      </c>
      <c r="Q40" s="170">
        <f t="shared" si="56"/>
        <v>7.3713177281363746E-7</v>
      </c>
      <c r="R40" s="87">
        <f t="shared" si="57"/>
        <v>2.6775232614021648E-7</v>
      </c>
      <c r="S40" s="87">
        <f t="shared" si="58"/>
        <v>2964044081.8846679</v>
      </c>
      <c r="T40" s="87">
        <f t="shared" si="59"/>
        <v>1326534255.3288665</v>
      </c>
      <c r="U40" s="87">
        <f t="shared" si="60"/>
        <v>0.8100923938386283</v>
      </c>
      <c r="V40" s="87">
        <f t="shared" si="61"/>
        <v>-1.8100923938386284</v>
      </c>
      <c r="W40" s="87">
        <f t="shared" si="62"/>
        <v>8.0708634575582958E-5</v>
      </c>
      <c r="X40" s="87">
        <f t="shared" si="63"/>
        <v>1637509826.5558016</v>
      </c>
      <c r="Y40" s="86">
        <f>FieldFox!AG40</f>
        <v>0.1</v>
      </c>
      <c r="Z40" s="86">
        <f>FieldFox!AF40</f>
        <v>0.1</v>
      </c>
      <c r="AA40" s="86">
        <f>FieldFox!AH40</f>
        <v>0.1</v>
      </c>
      <c r="AB40" s="87">
        <f t="shared" si="64"/>
        <v>1.3389238540091567E-3</v>
      </c>
      <c r="AC40" s="87">
        <f t="shared" si="65"/>
        <v>1.3389238540091567E-3</v>
      </c>
      <c r="AD40" s="87">
        <f t="shared" si="66"/>
        <v>1.3389238540091567E-3</v>
      </c>
      <c r="AE40" s="87">
        <f>DUT!AF41</f>
        <v>0.2</v>
      </c>
      <c r="AF40" s="4">
        <f t="shared" si="67"/>
        <v>0.40853898265363492</v>
      </c>
      <c r="AG40" s="4">
        <f>'Meas. Noise Std'!AC41</f>
        <v>0.1</v>
      </c>
      <c r="AH40" s="4">
        <f>'Meas. Noise Std'!AD41</f>
        <v>1</v>
      </c>
      <c r="AI40" s="4">
        <f>DUT!AH41</f>
        <v>0</v>
      </c>
      <c r="AJ40" s="166">
        <f t="shared" si="68"/>
        <v>1.6341559306145403E-2</v>
      </c>
      <c r="AK40" s="166">
        <f t="shared" si="69"/>
        <v>0</v>
      </c>
      <c r="AL40" s="163">
        <f t="shared" si="43"/>
        <v>1.6341559306145403E-2</v>
      </c>
      <c r="AM40" s="4">
        <f t="shared" si="70"/>
        <v>0</v>
      </c>
      <c r="AN40" s="4">
        <f>DUT!AG41</f>
        <v>0.31622776601683794</v>
      </c>
      <c r="AO40" s="4">
        <f>IF(AND(UsePreamp,UseUserCal),Preamp!AF41,0)</f>
        <v>0.3981071705534972</v>
      </c>
      <c r="AP40" s="4">
        <f t="shared" si="71"/>
        <v>0.40853898265363492</v>
      </c>
      <c r="AQ40" s="88">
        <f t="shared" si="72"/>
        <v>1.8028027985072248</v>
      </c>
      <c r="AR40" s="88">
        <f t="shared" si="73"/>
        <v>0</v>
      </c>
      <c r="AS40" s="88">
        <f t="shared" si="45"/>
        <v>1.8028027985072248</v>
      </c>
      <c r="AT40" s="88">
        <f t="shared" si="74"/>
        <v>1.7928443337079363</v>
      </c>
      <c r="AU40" s="88">
        <f t="shared" si="75"/>
        <v>15.979275880530704</v>
      </c>
      <c r="AV40" s="88">
        <f t="shared" si="46"/>
        <v>16.079538192094294</v>
      </c>
      <c r="AW40" s="88">
        <f>X40*Calibration!AT40*UseUserCal</f>
        <v>0.22842805787993589</v>
      </c>
      <c r="AX40" s="88">
        <f t="shared" si="76"/>
        <v>1.5626018985358263E-3</v>
      </c>
      <c r="AY40" s="167">
        <f t="shared" si="47"/>
        <v>0.22843340244257768</v>
      </c>
      <c r="AZ40" s="88">
        <f>U40*B40*(10^('Meas. Noise Std'!AB41/(ENRconf*10))-1)</f>
        <v>11.322744096722966</v>
      </c>
      <c r="BA40" s="88">
        <f t="shared" si="77"/>
        <v>0</v>
      </c>
      <c r="BB40" s="88">
        <f t="shared" si="78"/>
        <v>0</v>
      </c>
      <c r="BC40" s="88">
        <f t="shared" si="48"/>
        <v>0</v>
      </c>
      <c r="BD40" s="88">
        <f t="shared" si="79"/>
        <v>19.749895242774095</v>
      </c>
      <c r="BE40" s="4">
        <f t="shared" si="80"/>
        <v>39.499790485548189</v>
      </c>
      <c r="BF40" s="4">
        <f t="shared" si="81"/>
        <v>0.22933168606344012</v>
      </c>
      <c r="BG40" s="88">
        <f t="shared" si="82"/>
        <v>477.94685562332637</v>
      </c>
      <c r="BH40" s="88">
        <f t="shared" si="83"/>
        <v>398.94727465222996</v>
      </c>
      <c r="BI40" s="86">
        <f t="shared" si="84"/>
        <v>5.0850334028160837</v>
      </c>
      <c r="BJ40" s="86">
        <f>10*LOG10(($O40+NseMeas!T_0+BI40)/($O40+NseMeas!T_0))</f>
        <v>3.021124934808413E-2</v>
      </c>
      <c r="BK40" s="86">
        <f t="shared" si="85"/>
        <v>31.958551761061408</v>
      </c>
      <c r="BL40" s="86">
        <f>10*LOG10(($O40+NseMeas!T_0+BK40)/($O40+NseMeas!T_0))</f>
        <v>0.18647318315440853</v>
      </c>
      <c r="BM40" s="86">
        <f t="shared" si="86"/>
        <v>22.645488193445932</v>
      </c>
      <c r="BN40" s="86">
        <f>10*LOG10(($O40+NseMeas!T_0+BM40)/($O40+NseMeas!T_0))</f>
        <v>0.1329545831212689</v>
      </c>
      <c r="BO40" s="86">
        <f t="shared" si="87"/>
        <v>0.45685611575987178</v>
      </c>
      <c r="BP40" s="86">
        <f>10*LOG10(($O40+NseMeas!T_0+BO40)/($O40+NseMeas!T_0))</f>
        <v>2.7228869153745755E-3</v>
      </c>
      <c r="BQ40" s="86">
        <f t="shared" si="88"/>
        <v>0</v>
      </c>
      <c r="BR40" s="86">
        <f>10*LOG10(($O40+NseMeas!T_0+BQ40)/($O40+NseMeas!T_0))</f>
        <v>0</v>
      </c>
      <c r="BT40" s="86">
        <f t="shared" si="89"/>
        <v>0</v>
      </c>
      <c r="BU40" s="86">
        <f>10*LOG10(($O40+NseMeas!T_0+BT40)/($O40+NseMeas!T_0))</f>
        <v>0</v>
      </c>
      <c r="BV40" s="86">
        <f t="shared" si="90"/>
        <v>31.958551761061408</v>
      </c>
      <c r="BW40" s="86">
        <f>10*LOG10(($O40+NseMeas!T_0+BV40)/($O40+NseMeas!T_0))</f>
        <v>0.18647318315440853</v>
      </c>
      <c r="BX40" s="175">
        <f>UseUserCal*X40*Calibration!AM40*nSD</f>
        <v>0</v>
      </c>
      <c r="BY40" s="86">
        <f>10*LOG10(($O40+NseMeas!T_0+BX40)/($O40+NseMeas!T_0))</f>
        <v>0</v>
      </c>
      <c r="BZ40" s="168">
        <f>UseUserCal*X40*Calibration!AP40*nSD</f>
        <v>0.45096991767149264</v>
      </c>
      <c r="CA40" s="86">
        <f>10*LOG10(($O40+NseMeas!T_0+BZ40)/($O40+NseMeas!T_0))</f>
        <v>2.6878157133072068E-3</v>
      </c>
      <c r="CB40" s="4">
        <f t="shared" si="91"/>
        <v>31.961733440648768</v>
      </c>
      <c r="CC40" s="86">
        <f>10*LOG10(($O40+NseMeas!T_0+CB40)/($O40+NseMeas!T_0))</f>
        <v>0.18649135481130427</v>
      </c>
    </row>
    <row r="41" spans="1:81">
      <c r="A41" s="4">
        <f t="shared" si="92"/>
        <v>19.108000000000004</v>
      </c>
      <c r="B41" s="164">
        <f>T_0*(1+10^('Meas. Noise Std'!AA42/10))</f>
        <v>1207.0605214488303</v>
      </c>
      <c r="C41" s="164">
        <f t="shared" si="49"/>
        <v>298</v>
      </c>
      <c r="D41" s="86">
        <f t="shared" si="50"/>
        <v>298</v>
      </c>
      <c r="E41" s="164">
        <f>IF(UsePreamp,T_0*(10^(Preamp!AE42/10)-1),0)</f>
        <v>627.06052144883006</v>
      </c>
      <c r="F41" s="164">
        <f>T_0*(10^((FieldFox!B41-kT0dB)/10)-1)</f>
        <v>14162.139033528121</v>
      </c>
      <c r="G41" s="86">
        <f>IF(UsePreamp,10^(Preamp!AD42/10),1)</f>
        <v>127.88158193768224</v>
      </c>
      <c r="H41" s="86">
        <f>T_0*(10^(DUT!AE42/10)-1)</f>
        <v>438.4470651377784</v>
      </c>
      <c r="I41" s="86">
        <f>10^(DUT!AD42/10)</f>
        <v>100</v>
      </c>
      <c r="J41" s="87">
        <f t="shared" si="51"/>
        <v>1.0418060857443612E-6</v>
      </c>
      <c r="K41" s="87">
        <f t="shared" si="52"/>
        <v>4.688294899124358E-7</v>
      </c>
      <c r="L41" s="87">
        <f t="shared" si="53"/>
        <v>7.1270294580389457E-10</v>
      </c>
      <c r="M41" s="87">
        <f>IF(UseUserCal,Calibration!M41,0)</f>
        <v>3.9523331448572476E-9</v>
      </c>
      <c r="N41" s="87">
        <f>IF(UseUserCal,Calibration!L41,1)</f>
        <v>127.88158193768226</v>
      </c>
      <c r="O41" s="165">
        <f t="shared" si="54"/>
        <v>438.44706513777811</v>
      </c>
      <c r="P41" s="86">
        <f t="shared" si="55"/>
        <v>100.00000000000003</v>
      </c>
      <c r="Q41" s="170">
        <f t="shared" si="56"/>
        <v>7.6080460236088871E-7</v>
      </c>
      <c r="R41" s="87">
        <f t="shared" si="57"/>
        <v>2.7635113494397131E-7</v>
      </c>
      <c r="S41" s="87">
        <f t="shared" si="58"/>
        <v>2871817620.0357428</v>
      </c>
      <c r="T41" s="87">
        <f t="shared" si="59"/>
        <v>1285259760.4971137</v>
      </c>
      <c r="U41" s="87">
        <f t="shared" si="60"/>
        <v>0.81009321706733495</v>
      </c>
      <c r="V41" s="87">
        <f t="shared" si="61"/>
        <v>-1.8100932170673352</v>
      </c>
      <c r="W41" s="87">
        <f t="shared" si="62"/>
        <v>7.8197343577381467E-5</v>
      </c>
      <c r="X41" s="87">
        <f t="shared" si="63"/>
        <v>1586557859.53863</v>
      </c>
      <c r="Y41" s="86">
        <f>FieldFox!AG41</f>
        <v>0.1</v>
      </c>
      <c r="Z41" s="86">
        <f>FieldFox!AF41</f>
        <v>0.1</v>
      </c>
      <c r="AA41" s="86">
        <f>FieldFox!AH41</f>
        <v>0.1</v>
      </c>
      <c r="AB41" s="87">
        <f t="shared" si="64"/>
        <v>1.3389238540091567E-3</v>
      </c>
      <c r="AC41" s="87">
        <f t="shared" si="65"/>
        <v>1.3389238540091567E-3</v>
      </c>
      <c r="AD41" s="87">
        <f t="shared" si="66"/>
        <v>1.3389238540091567E-3</v>
      </c>
      <c r="AE41" s="87">
        <f>DUT!AF42</f>
        <v>0.2</v>
      </c>
      <c r="AF41" s="4">
        <f t="shared" si="67"/>
        <v>0.40853898265363492</v>
      </c>
      <c r="AG41" s="4">
        <f>'Meas. Noise Std'!AC42</f>
        <v>0.1</v>
      </c>
      <c r="AH41" s="4">
        <f>'Meas. Noise Std'!AD42</f>
        <v>1</v>
      </c>
      <c r="AI41" s="4">
        <f>DUT!AH42</f>
        <v>0</v>
      </c>
      <c r="AJ41" s="166">
        <f t="shared" si="68"/>
        <v>1.6341559306145403E-2</v>
      </c>
      <c r="AK41" s="166">
        <f t="shared" si="69"/>
        <v>0</v>
      </c>
      <c r="AL41" s="163">
        <f t="shared" si="43"/>
        <v>1.6341559306145403E-2</v>
      </c>
      <c r="AM41" s="4">
        <f t="shared" si="70"/>
        <v>0</v>
      </c>
      <c r="AN41" s="4">
        <f>DUT!AG42</f>
        <v>0.31622776601683794</v>
      </c>
      <c r="AO41" s="4">
        <f>IF(AND(UsePreamp,UseUserCal),Preamp!AF42,0)</f>
        <v>0.3981071705534972</v>
      </c>
      <c r="AP41" s="4">
        <f t="shared" si="71"/>
        <v>0.40853898265363492</v>
      </c>
      <c r="AQ41" s="88">
        <f t="shared" si="72"/>
        <v>1.8027174232937135</v>
      </c>
      <c r="AR41" s="88">
        <f t="shared" si="73"/>
        <v>0</v>
      </c>
      <c r="AS41" s="88">
        <f t="shared" si="45"/>
        <v>1.8027174232937135</v>
      </c>
      <c r="AT41" s="88">
        <f t="shared" si="74"/>
        <v>1.7928075796624356</v>
      </c>
      <c r="AU41" s="88">
        <f t="shared" si="75"/>
        <v>15.979292118923652</v>
      </c>
      <c r="AV41" s="88">
        <f t="shared" si="46"/>
        <v>16.079550231259287</v>
      </c>
      <c r="AW41" s="88">
        <f>X41*Calibration!AT41*UseUserCal</f>
        <v>0.22842797201866935</v>
      </c>
      <c r="AX41" s="88">
        <f t="shared" si="76"/>
        <v>1.5139807305257218E-3</v>
      </c>
      <c r="AY41" s="167">
        <f t="shared" si="47"/>
        <v>0.22843298916359342</v>
      </c>
      <c r="AZ41" s="88">
        <f>U41*B41*(10^('Meas. Noise Std'!AB42/(ENRconf*10))-1)</f>
        <v>11.322755603074647</v>
      </c>
      <c r="BA41" s="88">
        <f t="shared" si="77"/>
        <v>0</v>
      </c>
      <c r="BB41" s="88">
        <f t="shared" si="78"/>
        <v>0</v>
      </c>
      <c r="BC41" s="88">
        <f t="shared" si="48"/>
        <v>0</v>
      </c>
      <c r="BD41" s="88">
        <f t="shared" si="79"/>
        <v>19.74990384344526</v>
      </c>
      <c r="BE41" s="4">
        <f t="shared" si="80"/>
        <v>39.49980768689052</v>
      </c>
      <c r="BF41" s="4">
        <f t="shared" si="81"/>
        <v>0.2293317833416306</v>
      </c>
      <c r="BG41" s="88">
        <f t="shared" si="82"/>
        <v>477.94687282466862</v>
      </c>
      <c r="BH41" s="88">
        <f t="shared" si="83"/>
        <v>398.94725745088761</v>
      </c>
      <c r="BI41" s="86">
        <f t="shared" si="84"/>
        <v>5.0848604378407316</v>
      </c>
      <c r="BJ41" s="86">
        <f>10*LOG10(($O41+NseMeas!T_0+BI41)/($O41+NseMeas!T_0))</f>
        <v>3.0210225292785321E-2</v>
      </c>
      <c r="BK41" s="86">
        <f t="shared" si="85"/>
        <v>31.958584237847305</v>
      </c>
      <c r="BL41" s="86">
        <f>10*LOG10(($O41+NseMeas!T_0+BK41)/($O41+NseMeas!T_0))</f>
        <v>0.18647336864079048</v>
      </c>
      <c r="BM41" s="86">
        <f t="shared" si="86"/>
        <v>22.645511206149294</v>
      </c>
      <c r="BN41" s="86">
        <f>10*LOG10(($O41+NseMeas!T_0+BM41)/($O41+NseMeas!T_0))</f>
        <v>0.13295471618462937</v>
      </c>
      <c r="BO41" s="86">
        <f t="shared" si="87"/>
        <v>0.4568559440373387</v>
      </c>
      <c r="BP41" s="86">
        <f>10*LOG10(($O41+NseMeas!T_0+BO41)/($O41+NseMeas!T_0))</f>
        <v>2.7228858922196844E-3</v>
      </c>
      <c r="BQ41" s="86">
        <f t="shared" si="88"/>
        <v>0</v>
      </c>
      <c r="BR41" s="86">
        <f>10*LOG10(($O41+NseMeas!T_0+BQ41)/($O41+NseMeas!T_0))</f>
        <v>0</v>
      </c>
      <c r="BT41" s="86">
        <f t="shared" si="89"/>
        <v>0</v>
      </c>
      <c r="BU41" s="86">
        <f>10*LOG10(($O41+NseMeas!T_0+BT41)/($O41+NseMeas!T_0))</f>
        <v>0</v>
      </c>
      <c r="BV41" s="86">
        <f t="shared" si="90"/>
        <v>31.958584237847305</v>
      </c>
      <c r="BW41" s="86">
        <f>10*LOG10(($O41+NseMeas!T_0+BV41)/($O41+NseMeas!T_0))</f>
        <v>0.18647336864079048</v>
      </c>
      <c r="BX41" s="175">
        <f>UseUserCal*X41*Calibration!AM41*nSD</f>
        <v>0</v>
      </c>
      <c r="BY41" s="86">
        <f>10*LOG10(($O41+NseMeas!T_0+BX41)/($O41+NseMeas!T_0))</f>
        <v>0</v>
      </c>
      <c r="BZ41" s="168">
        <f>UseUserCal*X41*Calibration!AP41*nSD</f>
        <v>0.45096991767149253</v>
      </c>
      <c r="CA41" s="86">
        <f>10*LOG10(($O41+NseMeas!T_0+BZ41)/($O41+NseMeas!T_0))</f>
        <v>2.6878157133072068E-3</v>
      </c>
      <c r="CB41" s="4">
        <f t="shared" si="91"/>
        <v>31.96176591420172</v>
      </c>
      <c r="CC41" s="86">
        <f>10*LOG10(($O41+NseMeas!T_0+CB41)/($O41+NseMeas!T_0))</f>
        <v>0.18649154027844533</v>
      </c>
    </row>
    <row r="42" spans="1:81">
      <c r="A42" s="4">
        <f t="shared" si="92"/>
        <v>19.636000000000003</v>
      </c>
      <c r="B42" s="164">
        <f>T_0*(1+10^('Meas. Noise Std'!AA43/10))</f>
        <v>1207.0605214488303</v>
      </c>
      <c r="C42" s="164">
        <f t="shared" si="49"/>
        <v>298</v>
      </c>
      <c r="D42" s="86">
        <f t="shared" si="50"/>
        <v>298</v>
      </c>
      <c r="E42" s="164">
        <f>IF(UsePreamp,T_0*(10^(Preamp!AE43/10)-1),0)</f>
        <v>627.06052144883006</v>
      </c>
      <c r="F42" s="164">
        <f>T_0*(10^((FieldFox!B42-kT0dB)/10)-1)</f>
        <v>14162.139033528121</v>
      </c>
      <c r="G42" s="86">
        <f>IF(UsePreamp,10^(Preamp!AD43/10),1)</f>
        <v>131.98847164600204</v>
      </c>
      <c r="H42" s="86">
        <f>T_0*(10^(DUT!AE43/10)-1)</f>
        <v>438.4470651377784</v>
      </c>
      <c r="I42" s="86">
        <f>10^(DUT!AD43/10)</f>
        <v>100</v>
      </c>
      <c r="J42" s="87">
        <f t="shared" si="51"/>
        <v>1.0752410492081554E-6</v>
      </c>
      <c r="K42" s="87">
        <f t="shared" si="52"/>
        <v>4.8386343229973971E-7</v>
      </c>
      <c r="L42" s="87">
        <f t="shared" si="53"/>
        <v>7.1270294580389457E-10</v>
      </c>
      <c r="M42" s="87">
        <f>IF(UseUserCal,Calibration!M42,0)</f>
        <v>4.0792614802009211E-9</v>
      </c>
      <c r="N42" s="87">
        <f>IF(UseUserCal,Calibration!L42,1)</f>
        <v>131.98847164600207</v>
      </c>
      <c r="O42" s="165">
        <f t="shared" si="54"/>
        <v>438.44706513777868</v>
      </c>
      <c r="P42" s="86">
        <f t="shared" si="55"/>
        <v>99.999999999999957</v>
      </c>
      <c r="Q42" s="170">
        <f t="shared" si="56"/>
        <v>7.8523767977621867E-7</v>
      </c>
      <c r="R42" s="87">
        <f t="shared" si="57"/>
        <v>2.8522609265709193E-7</v>
      </c>
      <c r="S42" s="87">
        <f t="shared" si="58"/>
        <v>2782460752.3351936</v>
      </c>
      <c r="T42" s="87">
        <f t="shared" si="59"/>
        <v>1245269462.9502709</v>
      </c>
      <c r="U42" s="87">
        <f t="shared" si="60"/>
        <v>0.81009401468085451</v>
      </c>
      <c r="V42" s="87">
        <f t="shared" si="61"/>
        <v>-1.8100940146808544</v>
      </c>
      <c r="W42" s="87">
        <f t="shared" si="62"/>
        <v>7.5764192700256226E-5</v>
      </c>
      <c r="X42" s="87">
        <f t="shared" si="63"/>
        <v>1537191289.3849225</v>
      </c>
      <c r="Y42" s="86">
        <f>FieldFox!AG42</f>
        <v>0.1</v>
      </c>
      <c r="Z42" s="86">
        <f>FieldFox!AF42</f>
        <v>0.1</v>
      </c>
      <c r="AA42" s="86">
        <f>FieldFox!AH42</f>
        <v>0.1</v>
      </c>
      <c r="AB42" s="87">
        <f t="shared" si="64"/>
        <v>1.3389238540091567E-3</v>
      </c>
      <c r="AC42" s="87">
        <f t="shared" si="65"/>
        <v>1.3389238540091567E-3</v>
      </c>
      <c r="AD42" s="87">
        <f t="shared" si="66"/>
        <v>1.3389238540091567E-3</v>
      </c>
      <c r="AE42" s="87">
        <f>DUT!AF43</f>
        <v>0.2</v>
      </c>
      <c r="AF42" s="4">
        <f t="shared" si="67"/>
        <v>0.40853898265363492</v>
      </c>
      <c r="AG42" s="4">
        <f>'Meas. Noise Std'!AC43</f>
        <v>0.1</v>
      </c>
      <c r="AH42" s="4">
        <f>'Meas. Noise Std'!AD43</f>
        <v>1</v>
      </c>
      <c r="AI42" s="4">
        <f>DUT!AH43</f>
        <v>0</v>
      </c>
      <c r="AJ42" s="166">
        <f t="shared" si="68"/>
        <v>1.6341559306145403E-2</v>
      </c>
      <c r="AK42" s="166">
        <f t="shared" si="69"/>
        <v>0</v>
      </c>
      <c r="AL42" s="163">
        <f t="shared" si="43"/>
        <v>1.6341559306145403E-2</v>
      </c>
      <c r="AM42" s="4">
        <f t="shared" si="70"/>
        <v>0</v>
      </c>
      <c r="AN42" s="4">
        <f>DUT!AG43</f>
        <v>0.31622776601683794</v>
      </c>
      <c r="AO42" s="4">
        <f>IF(AND(UsePreamp,UseUserCal),Preamp!AF43,0)</f>
        <v>0.3981071705534972</v>
      </c>
      <c r="AP42" s="4">
        <f t="shared" si="71"/>
        <v>0.40853898265363492</v>
      </c>
      <c r="AQ42" s="88">
        <f t="shared" si="72"/>
        <v>1.8026347044994453</v>
      </c>
      <c r="AR42" s="88">
        <f t="shared" si="73"/>
        <v>0</v>
      </c>
      <c r="AS42" s="88">
        <f t="shared" si="45"/>
        <v>1.8026347044994453</v>
      </c>
      <c r="AT42" s="88">
        <f t="shared" si="74"/>
        <v>1.7927719691633321</v>
      </c>
      <c r="AU42" s="88">
        <f t="shared" si="75"/>
        <v>15.979307852050606</v>
      </c>
      <c r="AV42" s="88">
        <f t="shared" si="46"/>
        <v>16.079561895898284</v>
      </c>
      <c r="AW42" s="88">
        <f>X42*Calibration!AT42*UseUserCal</f>
        <v>0.2284278892268681</v>
      </c>
      <c r="AX42" s="88">
        <f t="shared" si="76"/>
        <v>1.4668724353598627E-3</v>
      </c>
      <c r="AY42" s="167">
        <f t="shared" si="47"/>
        <v>0.22843259901201479</v>
      </c>
      <c r="AZ42" s="88">
        <f>U42*B42*(10^('Meas. Noise Std'!AB43/(ENRconf*10))-1)</f>
        <v>11.322766751400245</v>
      </c>
      <c r="BA42" s="88">
        <f t="shared" si="77"/>
        <v>0</v>
      </c>
      <c r="BB42" s="88">
        <f t="shared" si="78"/>
        <v>0</v>
      </c>
      <c r="BC42" s="88">
        <f t="shared" si="48"/>
        <v>0</v>
      </c>
      <c r="BD42" s="88">
        <f t="shared" si="79"/>
        <v>19.749912177040081</v>
      </c>
      <c r="BE42" s="4">
        <f t="shared" si="80"/>
        <v>39.499824354080161</v>
      </c>
      <c r="BF42" s="4">
        <f t="shared" si="81"/>
        <v>0.22933187759904103</v>
      </c>
      <c r="BG42" s="88">
        <f t="shared" si="82"/>
        <v>477.94688949185883</v>
      </c>
      <c r="BH42" s="88">
        <f t="shared" si="83"/>
        <v>398.94724078369853</v>
      </c>
      <c r="BI42" s="86">
        <f t="shared" si="84"/>
        <v>5.0846928571933683</v>
      </c>
      <c r="BJ42" s="86">
        <f>10*LOG10(($O42+NseMeas!T_0+BI42)/($O42+NseMeas!T_0))</f>
        <v>3.0209233115673376E-2</v>
      </c>
      <c r="BK42" s="86">
        <f t="shared" si="85"/>
        <v>31.958615704101213</v>
      </c>
      <c r="BL42" s="86">
        <f>10*LOG10(($O42+NseMeas!T_0+BK42)/($O42+NseMeas!T_0))</f>
        <v>0.18647354835565952</v>
      </c>
      <c r="BM42" s="86">
        <f t="shared" si="86"/>
        <v>22.64553350280049</v>
      </c>
      <c r="BN42" s="86">
        <f>10*LOG10(($O42+NseMeas!T_0+BM42)/($O42+NseMeas!T_0))</f>
        <v>0.13295484510765121</v>
      </c>
      <c r="BO42" s="86">
        <f t="shared" si="87"/>
        <v>0.45685577845373621</v>
      </c>
      <c r="BP42" s="86">
        <f>10*LOG10(($O42+NseMeas!T_0+BO42)/($O42+NseMeas!T_0))</f>
        <v>2.7228849056419382E-3</v>
      </c>
      <c r="BQ42" s="86">
        <f t="shared" si="88"/>
        <v>0</v>
      </c>
      <c r="BR42" s="86">
        <f>10*LOG10(($O42+NseMeas!T_0+BQ42)/($O42+NseMeas!T_0))</f>
        <v>0</v>
      </c>
      <c r="BT42" s="86">
        <f t="shared" si="89"/>
        <v>0</v>
      </c>
      <c r="BU42" s="86">
        <f>10*LOG10(($O42+NseMeas!T_0+BT42)/($O42+NseMeas!T_0))</f>
        <v>0</v>
      </c>
      <c r="BV42" s="86">
        <f t="shared" si="90"/>
        <v>31.958615704101213</v>
      </c>
      <c r="BW42" s="86">
        <f>10*LOG10(($O42+NseMeas!T_0+BV42)/($O42+NseMeas!T_0))</f>
        <v>0.18647354835565952</v>
      </c>
      <c r="BX42" s="175">
        <f>UseUserCal*X42*Calibration!AM42*nSD</f>
        <v>0</v>
      </c>
      <c r="BY42" s="86">
        <f>10*LOG10(($O42+NseMeas!T_0+BX42)/($O42+NseMeas!T_0))</f>
        <v>0</v>
      </c>
      <c r="BZ42" s="168">
        <f>UseUserCal*X42*Calibration!AP42*nSD</f>
        <v>0.45096991767149286</v>
      </c>
      <c r="CA42" s="86">
        <f>10*LOG10(($O42+NseMeas!T_0+BZ42)/($O42+NseMeas!T_0))</f>
        <v>2.6878157133072068E-3</v>
      </c>
      <c r="CB42" s="4">
        <f t="shared" si="91"/>
        <v>31.961797377323279</v>
      </c>
      <c r="CC42" s="86">
        <f>10*LOG10(($O42+NseMeas!T_0+CB42)/($O42+NseMeas!T_0))</f>
        <v>0.18649171997467218</v>
      </c>
    </row>
    <row r="43" spans="1:81">
      <c r="A43" s="4">
        <f t="shared" si="92"/>
        <v>20.164000000000001</v>
      </c>
      <c r="B43" s="164">
        <f>T_0*(1+10^('Meas. Noise Std'!AA44/10))</f>
        <v>1207.0605214488303</v>
      </c>
      <c r="C43" s="164">
        <f t="shared" si="49"/>
        <v>298</v>
      </c>
      <c r="D43" s="86">
        <f t="shared" si="50"/>
        <v>298</v>
      </c>
      <c r="E43" s="164">
        <f>IF(UsePreamp,T_0*(10^(Preamp!AE44/10)-1),0)</f>
        <v>627.06052144883006</v>
      </c>
      <c r="F43" s="164">
        <f>T_0*(10^((FieldFox!B43-kT0dB)/10)-1)</f>
        <v>14162.139033528121</v>
      </c>
      <c r="G43" s="86">
        <f>IF(UsePreamp,10^(Preamp!AD44/10),1)</f>
        <v>136.22725324071175</v>
      </c>
      <c r="H43" s="86">
        <f>T_0*(10^(DUT!AE44/10)-1)</f>
        <v>438.4470651377784</v>
      </c>
      <c r="I43" s="86">
        <f>10^(DUT!AD44/10)</f>
        <v>100</v>
      </c>
      <c r="J43" s="87">
        <f t="shared" si="51"/>
        <v>1.1097497693870824E-6</v>
      </c>
      <c r="K43" s="87">
        <f t="shared" si="52"/>
        <v>4.9938018653790018E-7</v>
      </c>
      <c r="L43" s="87">
        <f t="shared" si="53"/>
        <v>7.1270294580389457E-10</v>
      </c>
      <c r="M43" s="87">
        <f>IF(UseUserCal,Calibration!M43,0)</f>
        <v>4.2102660919420066E-9</v>
      </c>
      <c r="N43" s="87">
        <f>IF(UseUserCal,Calibration!L43,1)</f>
        <v>136.2272532407118</v>
      </c>
      <c r="O43" s="165">
        <f t="shared" si="54"/>
        <v>438.44706513777828</v>
      </c>
      <c r="P43" s="86">
        <f t="shared" si="55"/>
        <v>99.999999999999972</v>
      </c>
      <c r="Q43" s="170">
        <f t="shared" si="56"/>
        <v>8.1045542025763765E-7</v>
      </c>
      <c r="R43" s="87">
        <f t="shared" si="57"/>
        <v>2.9438606774285896E-7</v>
      </c>
      <c r="S43" s="87">
        <f t="shared" si="58"/>
        <v>2695884194.7756839</v>
      </c>
      <c r="T43" s="87">
        <f t="shared" si="59"/>
        <v>1206523409.1261599</v>
      </c>
      <c r="U43" s="87">
        <f t="shared" si="60"/>
        <v>0.81009478747621499</v>
      </c>
      <c r="V43" s="87">
        <f t="shared" si="61"/>
        <v>-1.8100947874762152</v>
      </c>
      <c r="W43" s="87">
        <f t="shared" si="62"/>
        <v>7.3406750573838076E-5</v>
      </c>
      <c r="X43" s="87">
        <f t="shared" si="63"/>
        <v>1489360785.6495242</v>
      </c>
      <c r="Y43" s="86">
        <f>FieldFox!AG43</f>
        <v>0.1</v>
      </c>
      <c r="Z43" s="86">
        <f>FieldFox!AF43</f>
        <v>0.1</v>
      </c>
      <c r="AA43" s="86">
        <f>FieldFox!AH43</f>
        <v>0.1</v>
      </c>
      <c r="AB43" s="87">
        <f t="shared" si="64"/>
        <v>1.3389238540091567E-3</v>
      </c>
      <c r="AC43" s="87">
        <f t="shared" si="65"/>
        <v>1.3389238540091567E-3</v>
      </c>
      <c r="AD43" s="87">
        <f t="shared" si="66"/>
        <v>1.3389238540091567E-3</v>
      </c>
      <c r="AE43" s="87">
        <f>DUT!AF44</f>
        <v>0.2</v>
      </c>
      <c r="AF43" s="4">
        <f t="shared" si="67"/>
        <v>0.40853898265363492</v>
      </c>
      <c r="AG43" s="4">
        <f>'Meas. Noise Std'!AC44</f>
        <v>0.1</v>
      </c>
      <c r="AH43" s="4">
        <f>'Meas. Noise Std'!AD44</f>
        <v>1</v>
      </c>
      <c r="AI43" s="4">
        <f>DUT!AH44</f>
        <v>0</v>
      </c>
      <c r="AJ43" s="166">
        <f t="shared" si="68"/>
        <v>1.6341559306145403E-2</v>
      </c>
      <c r="AK43" s="166">
        <f t="shared" si="69"/>
        <v>0</v>
      </c>
      <c r="AL43" s="163">
        <f t="shared" si="43"/>
        <v>1.6341559306145403E-2</v>
      </c>
      <c r="AM43" s="4">
        <f t="shared" si="70"/>
        <v>0</v>
      </c>
      <c r="AN43" s="4">
        <f>DUT!AG44</f>
        <v>0.31622776601683794</v>
      </c>
      <c r="AO43" s="4">
        <f>IF(AND(UsePreamp,UseUserCal),Preamp!AF44,0)</f>
        <v>0.3981071705534972</v>
      </c>
      <c r="AP43" s="4">
        <f t="shared" si="71"/>
        <v>0.40853898265363492</v>
      </c>
      <c r="AQ43" s="88">
        <f t="shared" si="72"/>
        <v>1.8025545594731316</v>
      </c>
      <c r="AR43" s="88">
        <f t="shared" si="73"/>
        <v>0</v>
      </c>
      <c r="AS43" s="88">
        <f t="shared" si="45"/>
        <v>1.8025545594731316</v>
      </c>
      <c r="AT43" s="88">
        <f t="shared" si="74"/>
        <v>1.7927374666331637</v>
      </c>
      <c r="AU43" s="88">
        <f t="shared" si="75"/>
        <v>15.979323095633141</v>
      </c>
      <c r="AV43" s="88">
        <f t="shared" si="46"/>
        <v>16.079573197659975</v>
      </c>
      <c r="AW43" s="88">
        <f>X43*Calibration!AT43*UseUserCal</f>
        <v>0.22842780938465088</v>
      </c>
      <c r="AX43" s="88">
        <f t="shared" si="76"/>
        <v>1.4212299392155432E-3</v>
      </c>
      <c r="AY43" s="167">
        <f t="shared" si="47"/>
        <v>0.22843223063922155</v>
      </c>
      <c r="AZ43" s="88">
        <f>U43*B43*(10^('Meas. Noise Std'!AB44/(ENRconf*10))-1)</f>
        <v>11.322777552839897</v>
      </c>
      <c r="BA43" s="88">
        <f t="shared" si="77"/>
        <v>0</v>
      </c>
      <c r="BB43" s="88">
        <f t="shared" si="78"/>
        <v>0</v>
      </c>
      <c r="BC43" s="88">
        <f t="shared" si="48"/>
        <v>0</v>
      </c>
      <c r="BD43" s="88">
        <f t="shared" si="79"/>
        <v>19.749920251835761</v>
      </c>
      <c r="BE43" s="4">
        <f t="shared" si="80"/>
        <v>39.499840503671521</v>
      </c>
      <c r="BF43" s="4">
        <f t="shared" si="81"/>
        <v>0.22933196892929389</v>
      </c>
      <c r="BG43" s="88">
        <f t="shared" si="82"/>
        <v>477.9469056414498</v>
      </c>
      <c r="BH43" s="88">
        <f t="shared" si="83"/>
        <v>398.94722463410676</v>
      </c>
      <c r="BI43" s="86">
        <f t="shared" si="84"/>
        <v>5.0845304931890061</v>
      </c>
      <c r="BJ43" s="86">
        <f>10*LOG10(($O43+NseMeas!T_0+BI43)/($O43+NseMeas!T_0))</f>
        <v>3.0208271823975733E-2</v>
      </c>
      <c r="BK43" s="86">
        <f t="shared" si="85"/>
        <v>31.958646191266283</v>
      </c>
      <c r="BL43" s="86">
        <f>10*LOG10(($O43+NseMeas!T_0+BK43)/($O43+NseMeas!T_0))</f>
        <v>0.18647372247859992</v>
      </c>
      <c r="BM43" s="86">
        <f t="shared" si="86"/>
        <v>22.645555105679794</v>
      </c>
      <c r="BN43" s="86">
        <f>10*LOG10(($O43+NseMeas!T_0+BM43)/($O43+NseMeas!T_0))</f>
        <v>0.13295497001916212</v>
      </c>
      <c r="BO43" s="86">
        <f t="shared" si="87"/>
        <v>0.45685561876930175</v>
      </c>
      <c r="BP43" s="86">
        <f>10*LOG10(($O43+NseMeas!T_0+BO43)/($O43+NseMeas!T_0))</f>
        <v>2.7228839542121352E-3</v>
      </c>
      <c r="BQ43" s="86">
        <f t="shared" si="88"/>
        <v>0</v>
      </c>
      <c r="BR43" s="86">
        <f>10*LOG10(($O43+NseMeas!T_0+BQ43)/($O43+NseMeas!T_0))</f>
        <v>0</v>
      </c>
      <c r="BT43" s="86">
        <f t="shared" si="89"/>
        <v>0</v>
      </c>
      <c r="BU43" s="86">
        <f>10*LOG10(($O43+NseMeas!T_0+BT43)/($O43+NseMeas!T_0))</f>
        <v>0</v>
      </c>
      <c r="BV43" s="86">
        <f t="shared" si="90"/>
        <v>31.958646191266283</v>
      </c>
      <c r="BW43" s="86">
        <f>10*LOG10(($O43+NseMeas!T_0+BV43)/($O43+NseMeas!T_0))</f>
        <v>0.18647372247859992</v>
      </c>
      <c r="BX43" s="175">
        <f>UseUserCal*X43*Calibration!AM43*nSD</f>
        <v>0</v>
      </c>
      <c r="BY43" s="86">
        <f>10*LOG10(($O43+NseMeas!T_0+BX43)/($O43+NseMeas!T_0))</f>
        <v>0</v>
      </c>
      <c r="BZ43" s="168">
        <f>UseUserCal*X43*Calibration!AP43*nSD</f>
        <v>0.45096991767149275</v>
      </c>
      <c r="CA43" s="86">
        <f>10*LOG10(($O43+NseMeas!T_0+BZ43)/($O43+NseMeas!T_0))</f>
        <v>2.6878157133072068E-3</v>
      </c>
      <c r="CB43" s="4">
        <f t="shared" si="91"/>
        <v>31.961827861453472</v>
      </c>
      <c r="CC43" s="86">
        <f>10*LOG10(($O43+NseMeas!T_0+CB43)/($O43+NseMeas!T_0))</f>
        <v>0.18649189407955086</v>
      </c>
    </row>
    <row r="44" spans="1:81">
      <c r="A44" s="4">
        <f t="shared" si="92"/>
        <v>20.692</v>
      </c>
      <c r="B44" s="164">
        <f>T_0*(1+10^('Meas. Noise Std'!AA45/10))</f>
        <v>1207.0605214488303</v>
      </c>
      <c r="C44" s="164">
        <f t="shared" si="49"/>
        <v>298</v>
      </c>
      <c r="D44" s="86">
        <f t="shared" si="50"/>
        <v>298</v>
      </c>
      <c r="E44" s="164">
        <f>IF(UsePreamp,T_0*(10^(Preamp!AE45/10)-1),0)</f>
        <v>627.06052144883006</v>
      </c>
      <c r="F44" s="164">
        <f>T_0*(10^((FieldFox!B44-kT0dB)/10)-1)</f>
        <v>14162.139033528121</v>
      </c>
      <c r="G44" s="86">
        <f>IF(UsePreamp,10^(Preamp!AD45/10),1)</f>
        <v>140.60216240159104</v>
      </c>
      <c r="H44" s="86">
        <f>T_0*(10^(DUT!AE45/10)-1)</f>
        <v>438.4470651377784</v>
      </c>
      <c r="I44" s="86">
        <f>10^(DUT!AD45/10)</f>
        <v>100</v>
      </c>
      <c r="J44" s="87">
        <f t="shared" si="51"/>
        <v>1.1453667297488599E-6</v>
      </c>
      <c r="K44" s="87">
        <f t="shared" si="52"/>
        <v>5.1539525802645382E-7</v>
      </c>
      <c r="L44" s="87">
        <f t="shared" si="53"/>
        <v>7.1270294580389457E-10</v>
      </c>
      <c r="M44" s="87">
        <f>IF(UseUserCal,Calibration!M44,0)</f>
        <v>4.3454778888269509E-9</v>
      </c>
      <c r="N44" s="87">
        <f>IF(UseUserCal,Calibration!L44,1)</f>
        <v>140.6021624015911</v>
      </c>
      <c r="O44" s="165">
        <f t="shared" si="54"/>
        <v>438.44706513777828</v>
      </c>
      <c r="P44" s="86">
        <f t="shared" si="55"/>
        <v>99.999999999999957</v>
      </c>
      <c r="Q44" s="170">
        <f t="shared" si="56"/>
        <v>8.364830230920298E-7</v>
      </c>
      <c r="R44" s="87">
        <f t="shared" si="57"/>
        <v>3.0384021347335931E-7</v>
      </c>
      <c r="S44" s="87">
        <f t="shared" si="58"/>
        <v>2612001441.1677403</v>
      </c>
      <c r="T44" s="87">
        <f t="shared" si="59"/>
        <v>1168982888.3380921</v>
      </c>
      <c r="U44" s="87">
        <f t="shared" si="60"/>
        <v>0.81009553622564756</v>
      </c>
      <c r="V44" s="87">
        <f t="shared" si="61"/>
        <v>-1.8100955362256477</v>
      </c>
      <c r="W44" s="87">
        <f t="shared" si="62"/>
        <v>7.1122661481107087E-5</v>
      </c>
      <c r="X44" s="87">
        <f t="shared" si="63"/>
        <v>1443018552.8296485</v>
      </c>
      <c r="Y44" s="86">
        <f>FieldFox!AG44</f>
        <v>0.1</v>
      </c>
      <c r="Z44" s="86">
        <f>FieldFox!AF44</f>
        <v>0.1</v>
      </c>
      <c r="AA44" s="86">
        <f>FieldFox!AH44</f>
        <v>0.1</v>
      </c>
      <c r="AB44" s="87">
        <f t="shared" si="64"/>
        <v>1.3389238540091567E-3</v>
      </c>
      <c r="AC44" s="87">
        <f t="shared" si="65"/>
        <v>1.3389238540091567E-3</v>
      </c>
      <c r="AD44" s="87">
        <f t="shared" si="66"/>
        <v>1.3389238540091567E-3</v>
      </c>
      <c r="AE44" s="87">
        <f>DUT!AF45</f>
        <v>0.2</v>
      </c>
      <c r="AF44" s="4">
        <f t="shared" si="67"/>
        <v>0.40853898265363492</v>
      </c>
      <c r="AG44" s="4">
        <f>'Meas. Noise Std'!AC45</f>
        <v>0.1</v>
      </c>
      <c r="AH44" s="4">
        <f>'Meas. Noise Std'!AD45</f>
        <v>1</v>
      </c>
      <c r="AI44" s="4">
        <f>DUT!AH45</f>
        <v>0</v>
      </c>
      <c r="AJ44" s="166">
        <f t="shared" si="68"/>
        <v>1.6341559306145403E-2</v>
      </c>
      <c r="AK44" s="166">
        <f t="shared" si="69"/>
        <v>0</v>
      </c>
      <c r="AL44" s="163">
        <f t="shared" si="43"/>
        <v>1.6341559306145403E-2</v>
      </c>
      <c r="AM44" s="4">
        <f t="shared" si="70"/>
        <v>0</v>
      </c>
      <c r="AN44" s="4">
        <f>DUT!AG45</f>
        <v>0.31622776601683794</v>
      </c>
      <c r="AO44" s="4">
        <f>IF(AND(UsePreamp,UseUserCal),Preamp!AF45,0)</f>
        <v>0.3981071705534972</v>
      </c>
      <c r="AP44" s="4">
        <f t="shared" si="71"/>
        <v>0.40853898265363492</v>
      </c>
      <c r="AQ44" s="88">
        <f t="shared" si="72"/>
        <v>1.8024769081349543</v>
      </c>
      <c r="AR44" s="88">
        <f t="shared" si="73"/>
        <v>0</v>
      </c>
      <c r="AS44" s="88">
        <f t="shared" si="45"/>
        <v>1.8024769081349543</v>
      </c>
      <c r="AT44" s="88">
        <f t="shared" si="74"/>
        <v>1.7927040376012056</v>
      </c>
      <c r="AU44" s="88">
        <f t="shared" si="75"/>
        <v>15.979337864903705</v>
      </c>
      <c r="AV44" s="88">
        <f t="shared" si="46"/>
        <v>16.079584147830968</v>
      </c>
      <c r="AW44" s="88">
        <f>X44*Calibration!AT44*UseUserCal</f>
        <v>0.22842773237736042</v>
      </c>
      <c r="AX44" s="88">
        <f t="shared" si="76"/>
        <v>1.3770076329964486E-3</v>
      </c>
      <c r="AY44" s="167">
        <f t="shared" si="47"/>
        <v>0.22843188277708593</v>
      </c>
      <c r="AZ44" s="88">
        <f>U44*B44*(10^('Meas. Noise Std'!AB45/(ENRconf*10))-1)</f>
        <v>11.322788018187161</v>
      </c>
      <c r="BA44" s="88">
        <f t="shared" si="77"/>
        <v>0</v>
      </c>
      <c r="BB44" s="88">
        <f t="shared" si="78"/>
        <v>0</v>
      </c>
      <c r="BC44" s="88">
        <f t="shared" si="48"/>
        <v>0</v>
      </c>
      <c r="BD44" s="88">
        <f t="shared" si="79"/>
        <v>19.749928075854061</v>
      </c>
      <c r="BE44" s="4">
        <f t="shared" si="80"/>
        <v>39.499856151708123</v>
      </c>
      <c r="BF44" s="4">
        <f t="shared" si="81"/>
        <v>0.22933205742311838</v>
      </c>
      <c r="BG44" s="88">
        <f t="shared" si="82"/>
        <v>477.9469212894864</v>
      </c>
      <c r="BH44" s="88">
        <f t="shared" si="83"/>
        <v>398.94720898607017</v>
      </c>
      <c r="BI44" s="86">
        <f t="shared" si="84"/>
        <v>5.0843731833693839</v>
      </c>
      <c r="BJ44" s="86">
        <f>10*LOG10(($O44+NseMeas!T_0+BI44)/($O44+NseMeas!T_0))</f>
        <v>3.0207340455860706E-2</v>
      </c>
      <c r="BK44" s="86">
        <f t="shared" si="85"/>
        <v>31.95867572980741</v>
      </c>
      <c r="BL44" s="86">
        <f>10*LOG10(($O44+NseMeas!T_0+BK44)/($O44+NseMeas!T_0))</f>
        <v>0.18647389118360702</v>
      </c>
      <c r="BM44" s="86">
        <f t="shared" si="86"/>
        <v>22.645576036374322</v>
      </c>
      <c r="BN44" s="86">
        <f>10*LOG10(($O44+NseMeas!T_0+BM44)/($O44+NseMeas!T_0))</f>
        <v>0.1329550910439832</v>
      </c>
      <c r="BO44" s="86">
        <f t="shared" si="87"/>
        <v>0.45685546475472083</v>
      </c>
      <c r="BP44" s="86">
        <f>10*LOG10(($O44+NseMeas!T_0+BO44)/($O44+NseMeas!T_0))</f>
        <v>2.7228830365656439E-3</v>
      </c>
      <c r="BQ44" s="86">
        <f t="shared" si="88"/>
        <v>0</v>
      </c>
      <c r="BR44" s="86">
        <f>10*LOG10(($O44+NseMeas!T_0+BQ44)/($O44+NseMeas!T_0))</f>
        <v>0</v>
      </c>
      <c r="BT44" s="86">
        <f t="shared" si="89"/>
        <v>0</v>
      </c>
      <c r="BU44" s="86">
        <f>10*LOG10(($O44+NseMeas!T_0+BT44)/($O44+NseMeas!T_0))</f>
        <v>0</v>
      </c>
      <c r="BV44" s="86">
        <f t="shared" si="90"/>
        <v>31.95867572980741</v>
      </c>
      <c r="BW44" s="86">
        <f>10*LOG10(($O44+NseMeas!T_0+BV44)/($O44+NseMeas!T_0))</f>
        <v>0.18647389118360702</v>
      </c>
      <c r="BX44" s="175">
        <f>UseUserCal*X44*Calibration!AM44*nSD</f>
        <v>0</v>
      </c>
      <c r="BY44" s="86">
        <f>10*LOG10(($O44+NseMeas!T_0+BX44)/($O44+NseMeas!T_0))</f>
        <v>0</v>
      </c>
      <c r="BZ44" s="168">
        <f>UseUserCal*X44*Calibration!AP44*nSD</f>
        <v>0.45096991767149269</v>
      </c>
      <c r="CA44" s="86">
        <f>10*LOG10(($O44+NseMeas!T_0+BZ44)/($O44+NseMeas!T_0))</f>
        <v>2.6878157133072068E-3</v>
      </c>
      <c r="CB44" s="4">
        <f t="shared" si="91"/>
        <v>31.961857397054164</v>
      </c>
      <c r="CC44" s="86">
        <f>10*LOG10(($O44+NseMeas!T_0+CB44)/($O44+NseMeas!T_0))</f>
        <v>0.18649206276705849</v>
      </c>
    </row>
    <row r="45" spans="1:81">
      <c r="A45" s="4">
        <f t="shared" si="92"/>
        <v>21.22</v>
      </c>
      <c r="B45" s="164">
        <f>T_0*(1+10^('Meas. Noise Std'!AA46/10))</f>
        <v>1207.0605214488303</v>
      </c>
      <c r="C45" s="164">
        <f t="shared" si="49"/>
        <v>298</v>
      </c>
      <c r="D45" s="86">
        <f t="shared" si="50"/>
        <v>298</v>
      </c>
      <c r="E45" s="164">
        <f>IF(UsePreamp,T_0*(10^(Preamp!AE46/10)-1),0)</f>
        <v>627.06052144883006</v>
      </c>
      <c r="F45" s="164">
        <f>T_0*(10^((FieldFox!B45-kT0dB)/10)-1)</f>
        <v>14162.139033528121</v>
      </c>
      <c r="G45" s="86">
        <f>IF(UsePreamp,10^(Preamp!AD46/10),1)</f>
        <v>145.11757083637235</v>
      </c>
      <c r="H45" s="86">
        <f>T_0*(10^(DUT!AE46/10)-1)</f>
        <v>438.4470651377784</v>
      </c>
      <c r="I45" s="86">
        <f>10^(DUT!AD46/10)</f>
        <v>100</v>
      </c>
      <c r="J45" s="87">
        <f t="shared" si="51"/>
        <v>1.1821275211904171E-6</v>
      </c>
      <c r="K45" s="87">
        <f t="shared" si="52"/>
        <v>5.3192465011753587E-7</v>
      </c>
      <c r="L45" s="87">
        <f t="shared" si="53"/>
        <v>7.1270294580389457E-10</v>
      </c>
      <c r="M45" s="87">
        <f>IF(UseUserCal,Calibration!M45,0)</f>
        <v>4.4850319837086551E-9</v>
      </c>
      <c r="N45" s="87">
        <f>IF(UseUserCal,Calibration!L45,1)</f>
        <v>145.11757083637238</v>
      </c>
      <c r="O45" s="165">
        <f t="shared" si="54"/>
        <v>438.44706513777845</v>
      </c>
      <c r="P45" s="86">
        <f t="shared" si="55"/>
        <v>99.999999999999986</v>
      </c>
      <c r="Q45" s="170">
        <f t="shared" si="56"/>
        <v>8.6334649683600379E-7</v>
      </c>
      <c r="R45" s="87">
        <f t="shared" si="57"/>
        <v>3.1359797707606072E-7</v>
      </c>
      <c r="S45" s="87">
        <f t="shared" si="58"/>
        <v>2530728676.7248845</v>
      </c>
      <c r="T45" s="87">
        <f t="shared" si="59"/>
        <v>1132610394.1205406</v>
      </c>
      <c r="U45" s="87">
        <f t="shared" si="60"/>
        <v>0.81009626167735349</v>
      </c>
      <c r="V45" s="87">
        <f t="shared" si="61"/>
        <v>-1.8100962616773535</v>
      </c>
      <c r="W45" s="87">
        <f t="shared" si="62"/>
        <v>6.8909643004398994E-5</v>
      </c>
      <c r="X45" s="87">
        <f t="shared" si="63"/>
        <v>1398118282.6043439</v>
      </c>
      <c r="Y45" s="86">
        <f>FieldFox!AG45</f>
        <v>0.1</v>
      </c>
      <c r="Z45" s="86">
        <f>FieldFox!AF45</f>
        <v>0.1</v>
      </c>
      <c r="AA45" s="86">
        <f>FieldFox!AH45</f>
        <v>0.1</v>
      </c>
      <c r="AB45" s="87">
        <f t="shared" si="64"/>
        <v>1.3389238540091567E-3</v>
      </c>
      <c r="AC45" s="87">
        <f t="shared" si="65"/>
        <v>1.3389238540091567E-3</v>
      </c>
      <c r="AD45" s="87">
        <f t="shared" si="66"/>
        <v>1.3389238540091567E-3</v>
      </c>
      <c r="AE45" s="87">
        <f>DUT!AF46</f>
        <v>0.2</v>
      </c>
      <c r="AF45" s="4">
        <f t="shared" si="67"/>
        <v>0.40853898265363492</v>
      </c>
      <c r="AG45" s="4">
        <f>'Meas. Noise Std'!AC46</f>
        <v>0.1</v>
      </c>
      <c r="AH45" s="4">
        <f>'Meas. Noise Std'!AD46</f>
        <v>1</v>
      </c>
      <c r="AI45" s="4">
        <f>DUT!AH46</f>
        <v>0</v>
      </c>
      <c r="AJ45" s="166">
        <f t="shared" si="68"/>
        <v>1.6341559306145403E-2</v>
      </c>
      <c r="AK45" s="166">
        <f t="shared" si="69"/>
        <v>0</v>
      </c>
      <c r="AL45" s="163">
        <f t="shared" si="43"/>
        <v>1.6341559306145403E-2</v>
      </c>
      <c r="AM45" s="4">
        <f t="shared" si="70"/>
        <v>0</v>
      </c>
      <c r="AN45" s="4">
        <f>DUT!AG46</f>
        <v>0.31622776601683794</v>
      </c>
      <c r="AO45" s="4">
        <f>IF(AND(UsePreamp,UseUserCal),Preamp!AF46,0)</f>
        <v>0.3981071705534972</v>
      </c>
      <c r="AP45" s="4">
        <f t="shared" si="71"/>
        <v>0.40853898265363492</v>
      </c>
      <c r="AQ45" s="88">
        <f t="shared" si="72"/>
        <v>1.8024016728965513</v>
      </c>
      <c r="AR45" s="88">
        <f t="shared" si="73"/>
        <v>0</v>
      </c>
      <c r="AS45" s="88">
        <f t="shared" si="45"/>
        <v>1.8024016728965513</v>
      </c>
      <c r="AT45" s="88">
        <f t="shared" si="74"/>
        <v>1.7926716486690417</v>
      </c>
      <c r="AU45" s="88">
        <f t="shared" si="75"/>
        <v>15.979352174620763</v>
      </c>
      <c r="AV45" s="88">
        <f t="shared" si="46"/>
        <v>16.079594757346936</v>
      </c>
      <c r="AW45" s="88">
        <f>X45*Calibration!AT45*UseUserCal</f>
        <v>0.22842765809530829</v>
      </c>
      <c r="AX45" s="88">
        <f t="shared" si="76"/>
        <v>1.334161326756929E-3</v>
      </c>
      <c r="AY45" s="167">
        <f t="shared" si="47"/>
        <v>0.22843155423310696</v>
      </c>
      <c r="AZ45" s="88">
        <f>U45*B45*(10^('Meas. Noise Std'!AB46/(ENRconf*10))-1)</f>
        <v>11.322798157899722</v>
      </c>
      <c r="BA45" s="88">
        <f t="shared" si="77"/>
        <v>0</v>
      </c>
      <c r="BB45" s="88">
        <f t="shared" si="78"/>
        <v>0</v>
      </c>
      <c r="BC45" s="88">
        <f t="shared" si="48"/>
        <v>0</v>
      </c>
      <c r="BD45" s="88">
        <f t="shared" si="79"/>
        <v>19.749935656869013</v>
      </c>
      <c r="BE45" s="4">
        <f t="shared" si="80"/>
        <v>39.499871313738026</v>
      </c>
      <c r="BF45" s="4">
        <f t="shared" si="81"/>
        <v>0.22933214316844366</v>
      </c>
      <c r="BG45" s="88">
        <f t="shared" si="82"/>
        <v>477.94693645151648</v>
      </c>
      <c r="BH45" s="88">
        <f t="shared" si="83"/>
        <v>398.94719382404043</v>
      </c>
      <c r="BI45" s="86">
        <f t="shared" si="84"/>
        <v>5.0842207703397433</v>
      </c>
      <c r="BJ45" s="86">
        <f>10*LOG10(($O45+NseMeas!T_0+BI45)/($O45+NseMeas!T_0))</f>
        <v>3.0206438079477045E-2</v>
      </c>
      <c r="BK45" s="86">
        <f t="shared" si="85"/>
        <v>31.958704349241525</v>
      </c>
      <c r="BL45" s="86">
        <f>10*LOG10(($O45+NseMeas!T_0+BK45)/($O45+NseMeas!T_0))</f>
        <v>0.18647405463926545</v>
      </c>
      <c r="BM45" s="86">
        <f t="shared" si="86"/>
        <v>22.645596315799445</v>
      </c>
      <c r="BN45" s="86">
        <f>10*LOG10(($O45+NseMeas!T_0+BM45)/($O45+NseMeas!T_0))</f>
        <v>0.13295520830305133</v>
      </c>
      <c r="BO45" s="86">
        <f t="shared" si="87"/>
        <v>0.45685531619061659</v>
      </c>
      <c r="BP45" s="86">
        <f>10*LOG10(($O45+NseMeas!T_0+BO45)/($O45+NseMeas!T_0))</f>
        <v>2.7228821513927645E-3</v>
      </c>
      <c r="BQ45" s="86">
        <f t="shared" si="88"/>
        <v>0</v>
      </c>
      <c r="BR45" s="86">
        <f>10*LOG10(($O45+NseMeas!T_0+BQ45)/($O45+NseMeas!T_0))</f>
        <v>0</v>
      </c>
      <c r="BT45" s="86">
        <f t="shared" si="89"/>
        <v>0</v>
      </c>
      <c r="BU45" s="86">
        <f>10*LOG10(($O45+NseMeas!T_0+BT45)/($O45+NseMeas!T_0))</f>
        <v>0</v>
      </c>
      <c r="BV45" s="86">
        <f t="shared" si="90"/>
        <v>31.958704349241525</v>
      </c>
      <c r="BW45" s="86">
        <f>10*LOG10(($O45+NseMeas!T_0+BV45)/($O45+NseMeas!T_0))</f>
        <v>0.18647405463926545</v>
      </c>
      <c r="BX45" s="175">
        <f>UseUserCal*X45*Calibration!AM45*nSD</f>
        <v>0</v>
      </c>
      <c r="BY45" s="86">
        <f>10*LOG10(($O45+NseMeas!T_0+BX45)/($O45+NseMeas!T_0))</f>
        <v>0</v>
      </c>
      <c r="BZ45" s="168">
        <f>UseUserCal*X45*Calibration!AP45*nSD</f>
        <v>0.45096991767149275</v>
      </c>
      <c r="CA45" s="86">
        <f>10*LOG10(($O45+NseMeas!T_0+BZ45)/($O45+NseMeas!T_0))</f>
        <v>2.6878157133072068E-3</v>
      </c>
      <c r="CB45" s="4">
        <f t="shared" si="91"/>
        <v>31.961886013639337</v>
      </c>
      <c r="CC45" s="86">
        <f>10*LOG10(($O45+NseMeas!T_0+CB45)/($O45+NseMeas!T_0))</f>
        <v>0.18649222620576122</v>
      </c>
    </row>
    <row r="46" spans="1:81">
      <c r="A46" s="4">
        <f t="shared" si="92"/>
        <v>21.747999999999998</v>
      </c>
      <c r="B46" s="164">
        <f>T_0*(1+10^('Meas. Noise Std'!AA47/10))</f>
        <v>1207.0605214488303</v>
      </c>
      <c r="C46" s="164">
        <f t="shared" si="49"/>
        <v>298</v>
      </c>
      <c r="D46" s="86">
        <f t="shared" si="50"/>
        <v>298</v>
      </c>
      <c r="E46" s="164">
        <f>IF(UsePreamp,T_0*(10^(Preamp!AE47/10)-1),0)</f>
        <v>627.06052144883006</v>
      </c>
      <c r="F46" s="164">
        <f>T_0*(10^((FieldFox!B46-kT0dB)/10)-1)</f>
        <v>14162.139033528121</v>
      </c>
      <c r="G46" s="86">
        <f>IF(UsePreamp,10^(Preamp!AD47/10),1)</f>
        <v>149.77799064924807</v>
      </c>
      <c r="H46" s="86">
        <f>T_0*(10^(DUT!AE47/10)-1)</f>
        <v>438.4470651377784</v>
      </c>
      <c r="I46" s="86">
        <f>10^(DUT!AD47/10)</f>
        <v>100</v>
      </c>
      <c r="J46" s="87">
        <f t="shared" si="51"/>
        <v>1.2200688776027354E-6</v>
      </c>
      <c r="K46" s="87">
        <f t="shared" si="52"/>
        <v>5.4898488010751723E-7</v>
      </c>
      <c r="L46" s="87">
        <f t="shared" si="53"/>
        <v>7.1270294580389457E-10</v>
      </c>
      <c r="M46" s="87">
        <f>IF(UseUserCal,Calibration!M46,0)</f>
        <v>4.6290678285604519E-9</v>
      </c>
      <c r="N46" s="87">
        <f>IF(UseUserCal,Calibration!L46,1)</f>
        <v>149.7779906492481</v>
      </c>
      <c r="O46" s="165">
        <f t="shared" si="54"/>
        <v>438.44706513777874</v>
      </c>
      <c r="P46" s="86">
        <f t="shared" si="55"/>
        <v>99.999999999999972</v>
      </c>
      <c r="Q46" s="170">
        <f t="shared" si="56"/>
        <v>8.9107268530540794E-7</v>
      </c>
      <c r="R46" s="87">
        <f t="shared" si="57"/>
        <v>3.2366910917412301E-7</v>
      </c>
      <c r="S46" s="87">
        <f t="shared" si="58"/>
        <v>2451984694.3365359</v>
      </c>
      <c r="T46" s="87">
        <f t="shared" si="59"/>
        <v>1097369586.7764604</v>
      </c>
      <c r="U46" s="87">
        <f t="shared" si="60"/>
        <v>0.8100969645562538</v>
      </c>
      <c r="V46" s="87">
        <f t="shared" si="61"/>
        <v>-1.8100969645562539</v>
      </c>
      <c r="W46" s="87">
        <f t="shared" si="62"/>
        <v>6.6765483744658617E-5</v>
      </c>
      <c r="X46" s="87">
        <f t="shared" si="63"/>
        <v>1354615107.5600755</v>
      </c>
      <c r="Y46" s="86">
        <f>FieldFox!AG46</f>
        <v>0.1</v>
      </c>
      <c r="Z46" s="86">
        <f>FieldFox!AF46</f>
        <v>0.1</v>
      </c>
      <c r="AA46" s="86">
        <f>FieldFox!AH46</f>
        <v>0.1</v>
      </c>
      <c r="AB46" s="87">
        <f t="shared" si="64"/>
        <v>1.3389238540091567E-3</v>
      </c>
      <c r="AC46" s="87">
        <f t="shared" si="65"/>
        <v>1.3389238540091567E-3</v>
      </c>
      <c r="AD46" s="87">
        <f t="shared" si="66"/>
        <v>1.3389238540091567E-3</v>
      </c>
      <c r="AE46" s="87">
        <f>DUT!AF47</f>
        <v>0.2</v>
      </c>
      <c r="AF46" s="4">
        <f t="shared" si="67"/>
        <v>0.40853898265363492</v>
      </c>
      <c r="AG46" s="4">
        <f>'Meas. Noise Std'!AC47</f>
        <v>0.1</v>
      </c>
      <c r="AH46" s="4">
        <f>'Meas. Noise Std'!AD47</f>
        <v>1</v>
      </c>
      <c r="AI46" s="4">
        <f>DUT!AH47</f>
        <v>0</v>
      </c>
      <c r="AJ46" s="166">
        <f t="shared" si="68"/>
        <v>1.6341559306145403E-2</v>
      </c>
      <c r="AK46" s="166">
        <f t="shared" si="69"/>
        <v>0</v>
      </c>
      <c r="AL46" s="163">
        <f t="shared" si="43"/>
        <v>1.6341559306145403E-2</v>
      </c>
      <c r="AM46" s="4">
        <f t="shared" si="70"/>
        <v>0</v>
      </c>
      <c r="AN46" s="4">
        <f>DUT!AG47</f>
        <v>0.31622776601683794</v>
      </c>
      <c r="AO46" s="4">
        <f>IF(AND(UsePreamp,UseUserCal),Preamp!AF47,0)</f>
        <v>0.3981071705534972</v>
      </c>
      <c r="AP46" s="4">
        <f t="shared" si="71"/>
        <v>0.40853898265363492</v>
      </c>
      <c r="AQ46" s="88">
        <f t="shared" si="72"/>
        <v>1.8023287785835158</v>
      </c>
      <c r="AR46" s="88">
        <f t="shared" si="73"/>
        <v>0</v>
      </c>
      <c r="AS46" s="88">
        <f t="shared" si="45"/>
        <v>1.8023287785835158</v>
      </c>
      <c r="AT46" s="88">
        <f t="shared" si="74"/>
        <v>1.7926402674772186</v>
      </c>
      <c r="AU46" s="88">
        <f t="shared" si="75"/>
        <v>15.979366039083565</v>
      </c>
      <c r="AV46" s="88">
        <f t="shared" si="46"/>
        <v>16.079605036803546</v>
      </c>
      <c r="AW46" s="88">
        <f>X46*Calibration!AT46*UseUserCal</f>
        <v>0.22842758643353508</v>
      </c>
      <c r="AX46" s="88">
        <f t="shared" si="76"/>
        <v>1.2926482055444048E-3</v>
      </c>
      <c r="AY46" s="167">
        <f t="shared" si="47"/>
        <v>0.22843124388584291</v>
      </c>
      <c r="AZ46" s="88">
        <f>U46*B46*(10^('Meas. Noise Std'!AB47/(ENRconf*10))-1)</f>
        <v>11.322807982109873</v>
      </c>
      <c r="BA46" s="88">
        <f t="shared" si="77"/>
        <v>0</v>
      </c>
      <c r="BB46" s="88">
        <f t="shared" si="78"/>
        <v>0</v>
      </c>
      <c r="BC46" s="88">
        <f t="shared" si="48"/>
        <v>0</v>
      </c>
      <c r="BD46" s="88">
        <f t="shared" si="79"/>
        <v>19.749943002414529</v>
      </c>
      <c r="BE46" s="4">
        <f t="shared" si="80"/>
        <v>39.499886004829058</v>
      </c>
      <c r="BF46" s="4">
        <f t="shared" si="81"/>
        <v>0.22933222625048222</v>
      </c>
      <c r="BG46" s="88">
        <f t="shared" si="82"/>
        <v>477.94695114260782</v>
      </c>
      <c r="BH46" s="88">
        <f t="shared" si="83"/>
        <v>398.94717913294966</v>
      </c>
      <c r="BI46" s="86">
        <f t="shared" si="84"/>
        <v>5.0840731016107652</v>
      </c>
      <c r="BJ46" s="86">
        <f>10*LOG10(($O46+NseMeas!T_0+BI46)/($O46+NseMeas!T_0))</f>
        <v>3.0205563792016506E-2</v>
      </c>
      <c r="BK46" s="86">
        <f t="shared" si="85"/>
        <v>31.958732078167131</v>
      </c>
      <c r="BL46" s="86">
        <f>10*LOG10(($O46+NseMeas!T_0+BK46)/($O46+NseMeas!T_0))</f>
        <v>0.18647421300890973</v>
      </c>
      <c r="BM46" s="86">
        <f t="shared" si="86"/>
        <v>22.645615964219747</v>
      </c>
      <c r="BN46" s="86">
        <f>10*LOG10(($O46+NseMeas!T_0+BM46)/($O46+NseMeas!T_0))</f>
        <v>0.13295532191353904</v>
      </c>
      <c r="BO46" s="86">
        <f t="shared" si="87"/>
        <v>0.45685517286707017</v>
      </c>
      <c r="BP46" s="86">
        <f>10*LOG10(($O46+NseMeas!T_0+BO46)/($O46+NseMeas!T_0))</f>
        <v>2.7228812974445116E-3</v>
      </c>
      <c r="BQ46" s="86">
        <f t="shared" si="88"/>
        <v>0</v>
      </c>
      <c r="BR46" s="86">
        <f>10*LOG10(($O46+NseMeas!T_0+BQ46)/($O46+NseMeas!T_0))</f>
        <v>0</v>
      </c>
      <c r="BT46" s="86">
        <f t="shared" si="89"/>
        <v>0</v>
      </c>
      <c r="BU46" s="86">
        <f>10*LOG10(($O46+NseMeas!T_0+BT46)/($O46+NseMeas!T_0))</f>
        <v>0</v>
      </c>
      <c r="BV46" s="86">
        <f t="shared" si="90"/>
        <v>31.958732078167131</v>
      </c>
      <c r="BW46" s="86">
        <f>10*LOG10(($O46+NseMeas!T_0+BV46)/($O46+NseMeas!T_0))</f>
        <v>0.18647421300890973</v>
      </c>
      <c r="BX46" s="175">
        <f>UseUserCal*X46*Calibration!AM46*nSD</f>
        <v>0</v>
      </c>
      <c r="BY46" s="86">
        <f>10*LOG10(($O46+NseMeas!T_0+BX46)/($O46+NseMeas!T_0))</f>
        <v>0</v>
      </c>
      <c r="BZ46" s="168">
        <f>UseUserCal*X46*Calibration!AP46*nSD</f>
        <v>0.45096991767149286</v>
      </c>
      <c r="CA46" s="86">
        <f>10*LOG10(($O46+NseMeas!T_0+BZ46)/($O46+NseMeas!T_0))</f>
        <v>2.6878157133072068E-3</v>
      </c>
      <c r="CB46" s="4">
        <f t="shared" si="91"/>
        <v>31.96191373980465</v>
      </c>
      <c r="CC46" s="86">
        <f>10*LOG10(($O46+NseMeas!T_0+CB46)/($O46+NseMeas!T_0))</f>
        <v>0.18649238455897921</v>
      </c>
    </row>
    <row r="47" spans="1:81">
      <c r="A47" s="4">
        <f t="shared" si="92"/>
        <v>22.275999999999996</v>
      </c>
      <c r="B47" s="164">
        <f>T_0*(1+10^('Meas. Noise Std'!AA48/10))</f>
        <v>1207.0605214488303</v>
      </c>
      <c r="C47" s="164">
        <f t="shared" si="49"/>
        <v>298</v>
      </c>
      <c r="D47" s="86">
        <f t="shared" si="50"/>
        <v>298</v>
      </c>
      <c r="E47" s="164">
        <f>IF(UsePreamp,T_0*(10^(Preamp!AE48/10)-1),0)</f>
        <v>627.06052144883006</v>
      </c>
      <c r="F47" s="164">
        <f>T_0*(10^((FieldFox!B47-kT0dB)/10)-1)</f>
        <v>22615.096770740252</v>
      </c>
      <c r="G47" s="86">
        <f>IF(UsePreamp,10^(Preamp!AD48/10),1)</f>
        <v>154.58807884967362</v>
      </c>
      <c r="H47" s="86">
        <f>T_0*(10^(DUT!AE48/10)-1)</f>
        <v>438.4470651377784</v>
      </c>
      <c r="I47" s="86">
        <f>10^(DUT!AD48/10)</f>
        <v>100</v>
      </c>
      <c r="J47" s="87">
        <f t="shared" si="51"/>
        <v>1.2596453370560998E-6</v>
      </c>
      <c r="K47" s="87">
        <f t="shared" si="52"/>
        <v>5.6700962022045164E-7</v>
      </c>
      <c r="L47" s="87">
        <f t="shared" si="53"/>
        <v>1.1293274240401184E-9</v>
      </c>
      <c r="M47" s="87">
        <f>IF(UseUserCal,Calibration!M47,0)</f>
        <v>4.7777293538260135E-9</v>
      </c>
      <c r="N47" s="87">
        <f>IF(UseUserCal,Calibration!L47,1)</f>
        <v>154.58807884967365</v>
      </c>
      <c r="O47" s="165">
        <f t="shared" si="54"/>
        <v>438.44706513777857</v>
      </c>
      <c r="P47" s="86">
        <f t="shared" si="55"/>
        <v>99.999999999999972</v>
      </c>
      <c r="Q47" s="170">
        <f t="shared" si="56"/>
        <v>9.1968929439950635E-7</v>
      </c>
      <c r="R47" s="87">
        <f t="shared" si="57"/>
        <v>3.340636735298875E-7</v>
      </c>
      <c r="S47" s="87">
        <f t="shared" si="58"/>
        <v>2375690813.4450231</v>
      </c>
      <c r="T47" s="87">
        <f t="shared" si="59"/>
        <v>1063225257.0888866</v>
      </c>
      <c r="U47" s="87">
        <f t="shared" si="60"/>
        <v>0.81009764556471253</v>
      </c>
      <c r="V47" s="87">
        <f t="shared" si="61"/>
        <v>-1.8100976455647124</v>
      </c>
      <c r="W47" s="87">
        <f t="shared" si="62"/>
        <v>6.4688041111658567E-5</v>
      </c>
      <c r="X47" s="87">
        <f t="shared" si="63"/>
        <v>1312465556.3561363</v>
      </c>
      <c r="Y47" s="86">
        <f>FieldFox!AG47</f>
        <v>0.1</v>
      </c>
      <c r="Z47" s="86">
        <f>FieldFox!AF47</f>
        <v>0.1</v>
      </c>
      <c r="AA47" s="86">
        <f>FieldFox!AH47</f>
        <v>0.1</v>
      </c>
      <c r="AB47" s="87">
        <f t="shared" si="64"/>
        <v>1.3389238540091567E-3</v>
      </c>
      <c r="AC47" s="87">
        <f t="shared" si="65"/>
        <v>1.3389238540091567E-3</v>
      </c>
      <c r="AD47" s="87">
        <f t="shared" si="66"/>
        <v>1.3389238540091567E-3</v>
      </c>
      <c r="AE47" s="87">
        <f>DUT!AF48</f>
        <v>0.2</v>
      </c>
      <c r="AF47" s="4">
        <f t="shared" si="67"/>
        <v>0.40853898265363492</v>
      </c>
      <c r="AG47" s="4">
        <f>'Meas. Noise Std'!AC48</f>
        <v>0.1</v>
      </c>
      <c r="AH47" s="4">
        <f>'Meas. Noise Std'!AD48</f>
        <v>1</v>
      </c>
      <c r="AI47" s="4">
        <f>DUT!AH48</f>
        <v>0</v>
      </c>
      <c r="AJ47" s="166">
        <f t="shared" si="68"/>
        <v>1.6341559306145403E-2</v>
      </c>
      <c r="AK47" s="166">
        <f t="shared" si="69"/>
        <v>0</v>
      </c>
      <c r="AL47" s="163">
        <f t="shared" si="43"/>
        <v>1.6341559306145403E-2</v>
      </c>
      <c r="AM47" s="4">
        <f t="shared" si="70"/>
        <v>0</v>
      </c>
      <c r="AN47" s="4">
        <f>DUT!AG48</f>
        <v>0.31622776601683794</v>
      </c>
      <c r="AO47" s="4">
        <f>IF(AND(UsePreamp,UseUserCal),Preamp!AF48,0)</f>
        <v>0.3981071705534972</v>
      </c>
      <c r="AP47" s="4">
        <f t="shared" si="71"/>
        <v>0.40853898265363492</v>
      </c>
      <c r="AQ47" s="88">
        <f t="shared" si="72"/>
        <v>1.803583380289369</v>
      </c>
      <c r="AR47" s="88">
        <f t="shared" si="73"/>
        <v>0</v>
      </c>
      <c r="AS47" s="88">
        <f t="shared" si="45"/>
        <v>1.803583380289369</v>
      </c>
      <c r="AT47" s="88">
        <f t="shared" si="74"/>
        <v>1.7932029599722974</v>
      </c>
      <c r="AU47" s="88">
        <f t="shared" si="75"/>
        <v>15.979379472146416</v>
      </c>
      <c r="AV47" s="88">
        <f t="shared" si="46"/>
        <v>16.079681127762068</v>
      </c>
      <c r="AW47" s="88">
        <f>X47*Calibration!AT47*UseUserCal</f>
        <v>0.22842884059952692</v>
      </c>
      <c r="AX47" s="88">
        <f t="shared" si="76"/>
        <v>1.9845574163191095E-3</v>
      </c>
      <c r="AY47" s="167">
        <f t="shared" si="47"/>
        <v>0.22843746121374828</v>
      </c>
      <c r="AZ47" s="88">
        <f>U47*B47*(10^('Meas. Noise Std'!AB48/(ENRconf*10))-1)</f>
        <v>11.322817500634629</v>
      </c>
      <c r="BA47" s="88">
        <f t="shared" si="77"/>
        <v>0</v>
      </c>
      <c r="BB47" s="88">
        <f t="shared" si="78"/>
        <v>0</v>
      </c>
      <c r="BC47" s="88">
        <f t="shared" si="48"/>
        <v>0</v>
      </c>
      <c r="BD47" s="88">
        <f t="shared" si="79"/>
        <v>19.750125012427826</v>
      </c>
      <c r="BE47" s="4">
        <f t="shared" si="80"/>
        <v>39.500250024855653</v>
      </c>
      <c r="BF47" s="4">
        <f t="shared" si="81"/>
        <v>0.22933428488032845</v>
      </c>
      <c r="BG47" s="88">
        <f t="shared" si="82"/>
        <v>477.9473151626342</v>
      </c>
      <c r="BH47" s="88">
        <f t="shared" si="83"/>
        <v>398.94681511292293</v>
      </c>
      <c r="BI47" s="86">
        <f t="shared" si="84"/>
        <v>5.0866467554873811</v>
      </c>
      <c r="BJ47" s="86">
        <f>10*LOG10(($O47+NseMeas!T_0+BI47)/($O47+NseMeas!T_0))</f>
        <v>3.0220801341697433E-2</v>
      </c>
      <c r="BK47" s="86">
        <f t="shared" si="85"/>
        <v>31.958758944292832</v>
      </c>
      <c r="BL47" s="86">
        <f>10*LOG10(($O47+NseMeas!T_0+BK47)/($O47+NseMeas!T_0))</f>
        <v>0.18647436645079629</v>
      </c>
      <c r="BM47" s="86">
        <f t="shared" si="86"/>
        <v>22.645635001269259</v>
      </c>
      <c r="BN47" s="86">
        <f>10*LOG10(($O47+NseMeas!T_0+BM47)/($O47+NseMeas!T_0))</f>
        <v>0.132955431988976</v>
      </c>
      <c r="BO47" s="86">
        <f t="shared" si="87"/>
        <v>0.45685768119905384</v>
      </c>
      <c r="BP47" s="86">
        <f>10*LOG10(($O47+NseMeas!T_0+BO47)/($O47+NseMeas!T_0))</f>
        <v>2.7228962425513035E-3</v>
      </c>
      <c r="BQ47" s="86">
        <f t="shared" si="88"/>
        <v>0</v>
      </c>
      <c r="BR47" s="86">
        <f>10*LOG10(($O47+NseMeas!T_0+BQ47)/($O47+NseMeas!T_0))</f>
        <v>0</v>
      </c>
      <c r="BT47" s="86">
        <f t="shared" si="89"/>
        <v>0</v>
      </c>
      <c r="BU47" s="86">
        <f>10*LOG10(($O47+NseMeas!T_0+BT47)/($O47+NseMeas!T_0))</f>
        <v>0</v>
      </c>
      <c r="BV47" s="86">
        <f t="shared" si="90"/>
        <v>31.958758944292832</v>
      </c>
      <c r="BW47" s="86">
        <f>10*LOG10(($O47+NseMeas!T_0+BV47)/($O47+NseMeas!T_0))</f>
        <v>0.18647436645079629</v>
      </c>
      <c r="BX47" s="175">
        <f>UseUserCal*X47*Calibration!AM47*nSD</f>
        <v>0</v>
      </c>
      <c r="BY47" s="86">
        <f>10*LOG10(($O47+NseMeas!T_0+BX47)/($O47+NseMeas!T_0))</f>
        <v>0</v>
      </c>
      <c r="BZ47" s="168">
        <f>UseUserCal*X47*Calibration!AP47*nSD</f>
        <v>0.45096991767149286</v>
      </c>
      <c r="CA47" s="86">
        <f>10*LOG10(($O47+NseMeas!T_0+BZ47)/($O47+NseMeas!T_0))</f>
        <v>2.6878157133072068E-3</v>
      </c>
      <c r="CB47" s="4">
        <f t="shared" si="91"/>
        <v>31.961940603255954</v>
      </c>
      <c r="CC47" s="86">
        <f>10*LOG10(($O47+NseMeas!T_0+CB47)/($O47+NseMeas!T_0))</f>
        <v>0.18649253798494791</v>
      </c>
    </row>
    <row r="48" spans="1:81">
      <c r="A48" s="4">
        <f t="shared" si="92"/>
        <v>22.803999999999995</v>
      </c>
      <c r="B48" s="164">
        <f>T_0*(1+10^('Meas. Noise Std'!AA49/10))</f>
        <v>1207.0605214488303</v>
      </c>
      <c r="C48" s="164">
        <f t="shared" si="49"/>
        <v>298</v>
      </c>
      <c r="D48" s="86">
        <f t="shared" si="50"/>
        <v>298</v>
      </c>
      <c r="E48" s="164">
        <f>IF(UsePreamp,T_0*(10^(Preamp!AE49/10)-1),0)</f>
        <v>627.06052144883006</v>
      </c>
      <c r="F48" s="164">
        <f>T_0*(10^((FieldFox!B48-kT0dB)/10)-1)</f>
        <v>22615.096770740252</v>
      </c>
      <c r="G48" s="86">
        <f>IF(UsePreamp,10^(Preamp!AD49/10),1)</f>
        <v>159.55264200596923</v>
      </c>
      <c r="H48" s="86">
        <f>T_0*(10^(DUT!AE49/10)-1)</f>
        <v>438.4470651377784</v>
      </c>
      <c r="I48" s="86">
        <f>10^(DUT!AD49/10)</f>
        <v>100</v>
      </c>
      <c r="J48" s="87">
        <f t="shared" si="51"/>
        <v>1.3000627817730053E-6</v>
      </c>
      <c r="K48" s="87">
        <f t="shared" si="52"/>
        <v>5.8518321673040384E-7</v>
      </c>
      <c r="L48" s="87">
        <f t="shared" si="53"/>
        <v>1.1293274240401184E-9</v>
      </c>
      <c r="M48" s="87">
        <f>IF(UseUserCal,Calibration!M48,0)</f>
        <v>4.9311651122445008E-9</v>
      </c>
      <c r="N48" s="87">
        <f>IF(UseUserCal,Calibration!L48,1)</f>
        <v>159.55264200596923</v>
      </c>
      <c r="O48" s="165">
        <f t="shared" si="54"/>
        <v>438.44706513777851</v>
      </c>
      <c r="P48" s="86">
        <f t="shared" si="55"/>
        <v>99.999999999999972</v>
      </c>
      <c r="Q48" s="170">
        <f t="shared" si="56"/>
        <v>9.4922491978660543E-7</v>
      </c>
      <c r="R48" s="87">
        <f t="shared" si="57"/>
        <v>3.4479205710127534E-7</v>
      </c>
      <c r="S48" s="87">
        <f t="shared" si="58"/>
        <v>2301770801.4457979</v>
      </c>
      <c r="T48" s="87">
        <f t="shared" si="59"/>
        <v>1030143291.1606818</v>
      </c>
      <c r="U48" s="87">
        <f t="shared" si="60"/>
        <v>0.81009830538324024</v>
      </c>
      <c r="V48" s="87">
        <f t="shared" si="61"/>
        <v>-1.8100983053832402</v>
      </c>
      <c r="W48" s="87">
        <f t="shared" si="62"/>
        <v>6.2675239182976856E-5</v>
      </c>
      <c r="X48" s="87">
        <f t="shared" si="63"/>
        <v>1271627510.2851164</v>
      </c>
      <c r="Y48" s="86">
        <f>FieldFox!AG48</f>
        <v>0.1</v>
      </c>
      <c r="Z48" s="86">
        <f>FieldFox!AF48</f>
        <v>0.1</v>
      </c>
      <c r="AA48" s="86">
        <f>FieldFox!AH48</f>
        <v>0.1</v>
      </c>
      <c r="AB48" s="87">
        <f t="shared" si="64"/>
        <v>1.3389238540091567E-3</v>
      </c>
      <c r="AC48" s="87">
        <f t="shared" si="65"/>
        <v>1.3389238540091567E-3</v>
      </c>
      <c r="AD48" s="87">
        <f t="shared" si="66"/>
        <v>1.3389238540091567E-3</v>
      </c>
      <c r="AE48" s="87">
        <f>DUT!AF49</f>
        <v>0.2</v>
      </c>
      <c r="AF48" s="4">
        <f t="shared" si="67"/>
        <v>0.40853898265363492</v>
      </c>
      <c r="AG48" s="4">
        <f>'Meas. Noise Std'!AC49</f>
        <v>0.1</v>
      </c>
      <c r="AH48" s="4">
        <f>'Meas. Noise Std'!AD49</f>
        <v>1</v>
      </c>
      <c r="AI48" s="4">
        <f>DUT!AH49</f>
        <v>0</v>
      </c>
      <c r="AJ48" s="166">
        <f t="shared" si="68"/>
        <v>1.6341559306145403E-2</v>
      </c>
      <c r="AK48" s="166">
        <f t="shared" si="69"/>
        <v>0</v>
      </c>
      <c r="AL48" s="163">
        <f t="shared" si="43"/>
        <v>1.6341559306145403E-2</v>
      </c>
      <c r="AM48" s="4">
        <f t="shared" si="70"/>
        <v>0</v>
      </c>
      <c r="AN48" s="4">
        <f>DUT!AG49</f>
        <v>0.31622776601683794</v>
      </c>
      <c r="AO48" s="4">
        <f>IF(AND(UsePreamp,UseUserCal),Preamp!AF49,0)</f>
        <v>0.3981071705534972</v>
      </c>
      <c r="AP48" s="4">
        <f t="shared" si="71"/>
        <v>0.40853898265363492</v>
      </c>
      <c r="AQ48" s="88">
        <f t="shared" si="72"/>
        <v>1.8034737169006476</v>
      </c>
      <c r="AR48" s="88">
        <f t="shared" si="73"/>
        <v>0</v>
      </c>
      <c r="AS48" s="88">
        <f t="shared" si="45"/>
        <v>1.8034737169006476</v>
      </c>
      <c r="AT48" s="88">
        <f t="shared" si="74"/>
        <v>1.793155047116233</v>
      </c>
      <c r="AU48" s="88">
        <f t="shared" si="75"/>
        <v>15.979392487232554</v>
      </c>
      <c r="AV48" s="88">
        <f t="shared" si="46"/>
        <v>16.079688718505174</v>
      </c>
      <c r="AW48" s="88">
        <f>X48*Calibration!AT48*UseUserCal</f>
        <v>0.22842872631728445</v>
      </c>
      <c r="AX48" s="88">
        <f t="shared" si="76"/>
        <v>1.9228068836626682E-3</v>
      </c>
      <c r="AY48" s="167">
        <f t="shared" si="47"/>
        <v>0.22843681882141656</v>
      </c>
      <c r="AZ48" s="88">
        <f>U48*B48*(10^('Meas. Noise Std'!AB49/(ENRconf*10))-1)</f>
        <v>11.322826722985557</v>
      </c>
      <c r="BA48" s="88">
        <f t="shared" si="77"/>
        <v>0</v>
      </c>
      <c r="BB48" s="88">
        <f t="shared" si="78"/>
        <v>0</v>
      </c>
      <c r="BC48" s="88">
        <f t="shared" si="48"/>
        <v>0</v>
      </c>
      <c r="BD48" s="88">
        <f t="shared" si="79"/>
        <v>19.750126458089404</v>
      </c>
      <c r="BE48" s="4">
        <f t="shared" si="80"/>
        <v>39.500252916178809</v>
      </c>
      <c r="BF48" s="4">
        <f t="shared" si="81"/>
        <v>0.22933430123152448</v>
      </c>
      <c r="BG48" s="88">
        <f t="shared" si="82"/>
        <v>477.9473180539573</v>
      </c>
      <c r="BH48" s="88">
        <f t="shared" si="83"/>
        <v>398.94681222159971</v>
      </c>
      <c r="BI48" s="86">
        <f t="shared" si="84"/>
        <v>5.0864235638555186</v>
      </c>
      <c r="BJ48" s="86">
        <f>10*LOG10(($O48+NseMeas!T_0+BI48)/($O48+NseMeas!T_0))</f>
        <v>3.0219479917646432E-2</v>
      </c>
      <c r="BK48" s="86">
        <f t="shared" si="85"/>
        <v>31.958784974465107</v>
      </c>
      <c r="BL48" s="86">
        <f>10*LOG10(($O48+NseMeas!T_0+BK48)/($O48+NseMeas!T_0))</f>
        <v>0.18647451511825214</v>
      </c>
      <c r="BM48" s="86">
        <f t="shared" si="86"/>
        <v>22.645653445971114</v>
      </c>
      <c r="BN48" s="86">
        <f>10*LOG10(($O48+NseMeas!T_0+BM48)/($O48+NseMeas!T_0))</f>
        <v>0.13295553863935478</v>
      </c>
      <c r="BO48" s="86">
        <f t="shared" si="87"/>
        <v>0.45685745263456889</v>
      </c>
      <c r="BP48" s="86">
        <f>10*LOG10(($O48+NseMeas!T_0+BO48)/($O48+NseMeas!T_0))</f>
        <v>2.7228948807219685E-3</v>
      </c>
      <c r="BQ48" s="86">
        <f t="shared" si="88"/>
        <v>0</v>
      </c>
      <c r="BR48" s="86">
        <f>10*LOG10(($O48+NseMeas!T_0+BQ48)/($O48+NseMeas!T_0))</f>
        <v>0</v>
      </c>
      <c r="BT48" s="86">
        <f t="shared" si="89"/>
        <v>0</v>
      </c>
      <c r="BU48" s="86">
        <f>10*LOG10(($O48+NseMeas!T_0+BT48)/($O48+NseMeas!T_0))</f>
        <v>0</v>
      </c>
      <c r="BV48" s="86">
        <f t="shared" si="90"/>
        <v>31.958784974465107</v>
      </c>
      <c r="BW48" s="86">
        <f>10*LOG10(($O48+NseMeas!T_0+BV48)/($O48+NseMeas!T_0))</f>
        <v>0.18647451511825214</v>
      </c>
      <c r="BX48" s="175">
        <f>UseUserCal*X48*Calibration!AM48*nSD</f>
        <v>0</v>
      </c>
      <c r="BY48" s="86">
        <f>10*LOG10(($O48+NseMeas!T_0+BX48)/($O48+NseMeas!T_0))</f>
        <v>0</v>
      </c>
      <c r="BZ48" s="168">
        <f>UseUserCal*X48*Calibration!AP48*nSD</f>
        <v>0.45096991767149269</v>
      </c>
      <c r="CA48" s="86">
        <f>10*LOG10(($O48+NseMeas!T_0+BZ48)/($O48+NseMeas!T_0))</f>
        <v>2.6878157133072068E-3</v>
      </c>
      <c r="CB48" s="4">
        <f t="shared" si="91"/>
        <v>31.961966630837054</v>
      </c>
      <c r="CC48" s="86">
        <f>10*LOG10(($O48+NseMeas!T_0+CB48)/($O48+NseMeas!T_0))</f>
        <v>0.18649268663698343</v>
      </c>
    </row>
    <row r="49" spans="1:81">
      <c r="A49" s="4">
        <f t="shared" si="92"/>
        <v>23.331999999999994</v>
      </c>
      <c r="B49" s="164">
        <f>T_0*(1+10^('Meas. Noise Std'!AA50/10))</f>
        <v>1207.0605214488303</v>
      </c>
      <c r="C49" s="164">
        <f t="shared" si="49"/>
        <v>298</v>
      </c>
      <c r="D49" s="86">
        <f t="shared" si="50"/>
        <v>298</v>
      </c>
      <c r="E49" s="164">
        <f>IF(UsePreamp,T_0*(10^(Preamp!AE50/10)-1),0)</f>
        <v>627.06052144883006</v>
      </c>
      <c r="F49" s="164">
        <f>T_0*(10^((FieldFox!B49-kT0dB)/10)-1)</f>
        <v>22615.096770740252</v>
      </c>
      <c r="G49" s="86">
        <f>IF(UsePreamp,10^(Preamp!AD50/10),1)</f>
        <v>164.67664104837101</v>
      </c>
      <c r="H49" s="86">
        <f>T_0*(10^(DUT!AE50/10)-1)</f>
        <v>438.4470651377784</v>
      </c>
      <c r="I49" s="86">
        <f>10^(DUT!AD50/10)</f>
        <v>100</v>
      </c>
      <c r="J49" s="87">
        <f t="shared" si="51"/>
        <v>1.3417782241001163E-6</v>
      </c>
      <c r="K49" s="87">
        <f t="shared" si="52"/>
        <v>6.0394045441322042E-7</v>
      </c>
      <c r="L49" s="87">
        <f t="shared" si="53"/>
        <v>1.1293274240401184E-9</v>
      </c>
      <c r="M49" s="87">
        <f>IF(UseUserCal,Calibration!M49,0)</f>
        <v>5.0895284272945943E-9</v>
      </c>
      <c r="N49" s="87">
        <f>IF(UseUserCal,Calibration!L49,1)</f>
        <v>164.67664104837101</v>
      </c>
      <c r="O49" s="165">
        <f t="shared" si="54"/>
        <v>438.44706513777845</v>
      </c>
      <c r="P49" s="86">
        <f t="shared" si="55"/>
        <v>99.999999999999986</v>
      </c>
      <c r="Q49" s="170">
        <f t="shared" si="56"/>
        <v>9.7970907547879713E-7</v>
      </c>
      <c r="R49" s="87">
        <f t="shared" si="57"/>
        <v>3.5586498042114481E-7</v>
      </c>
      <c r="S49" s="87">
        <f t="shared" si="58"/>
        <v>2230150797.532393</v>
      </c>
      <c r="T49" s="87">
        <f t="shared" si="59"/>
        <v>998090636.34737635</v>
      </c>
      <c r="U49" s="87">
        <f t="shared" si="60"/>
        <v>0.81009894467117205</v>
      </c>
      <c r="V49" s="87">
        <f t="shared" si="61"/>
        <v>-1.8100989446711719</v>
      </c>
      <c r="W49" s="87">
        <f t="shared" si="62"/>
        <v>6.0725066629593626E-5</v>
      </c>
      <c r="X49" s="87">
        <f t="shared" si="63"/>
        <v>1232060161.1850169</v>
      </c>
      <c r="Y49" s="86">
        <f>FieldFox!AG49</f>
        <v>0.1</v>
      </c>
      <c r="Z49" s="86">
        <f>FieldFox!AF49</f>
        <v>0.1</v>
      </c>
      <c r="AA49" s="86">
        <f>FieldFox!AH49</f>
        <v>0.1</v>
      </c>
      <c r="AB49" s="87">
        <f t="shared" si="64"/>
        <v>1.3389238540091567E-3</v>
      </c>
      <c r="AC49" s="87">
        <f t="shared" si="65"/>
        <v>1.3389238540091567E-3</v>
      </c>
      <c r="AD49" s="87">
        <f t="shared" si="66"/>
        <v>1.3389238540091567E-3</v>
      </c>
      <c r="AE49" s="87">
        <f>DUT!AF50</f>
        <v>0.2</v>
      </c>
      <c r="AF49" s="4">
        <f t="shared" si="67"/>
        <v>0.40853898265363492</v>
      </c>
      <c r="AG49" s="4">
        <f>'Meas. Noise Std'!AC50</f>
        <v>0.1</v>
      </c>
      <c r="AH49" s="4">
        <f>'Meas. Noise Std'!AD50</f>
        <v>1</v>
      </c>
      <c r="AI49" s="4">
        <f>DUT!AH50</f>
        <v>0</v>
      </c>
      <c r="AJ49" s="166">
        <f t="shared" si="68"/>
        <v>1.6341559306145403E-2</v>
      </c>
      <c r="AK49" s="166">
        <f t="shared" si="69"/>
        <v>0</v>
      </c>
      <c r="AL49" s="163">
        <f t="shared" si="43"/>
        <v>1.6341559306145403E-2</v>
      </c>
      <c r="AM49" s="4">
        <f t="shared" si="70"/>
        <v>0</v>
      </c>
      <c r="AN49" s="4">
        <f>DUT!AG50</f>
        <v>0.31622776601683794</v>
      </c>
      <c r="AO49" s="4">
        <f>IF(AND(UsePreamp,UseUserCal),Preamp!AF50,0)</f>
        <v>0.3981071705534972</v>
      </c>
      <c r="AP49" s="4">
        <f t="shared" si="71"/>
        <v>0.40853898265363492</v>
      </c>
      <c r="AQ49" s="88">
        <f t="shared" si="72"/>
        <v>1.803367465668394</v>
      </c>
      <c r="AR49" s="88">
        <f t="shared" si="73"/>
        <v>0</v>
      </c>
      <c r="AS49" s="88">
        <f t="shared" si="45"/>
        <v>1.803367465668394</v>
      </c>
      <c r="AT49" s="88">
        <f t="shared" si="74"/>
        <v>1.7931086250168047</v>
      </c>
      <c r="AU49" s="88">
        <f t="shared" si="75"/>
        <v>15.979405097347534</v>
      </c>
      <c r="AV49" s="88">
        <f t="shared" si="46"/>
        <v>16.079696073192615</v>
      </c>
      <c r="AW49" s="88">
        <f>X49*Calibration!AT49*UseUserCal</f>
        <v>0.2284286162379458</v>
      </c>
      <c r="AX49" s="88">
        <f t="shared" si="76"/>
        <v>1.8629777508367377E-3</v>
      </c>
      <c r="AY49" s="167">
        <f t="shared" si="47"/>
        <v>0.228436212984025</v>
      </c>
      <c r="AZ49" s="88">
        <f>U49*B49*(10^('Meas. Noise Std'!AB50/(ENRconf*10))-1)</f>
        <v>11.322835658378251</v>
      </c>
      <c r="BA49" s="88">
        <f t="shared" si="77"/>
        <v>0</v>
      </c>
      <c r="BB49" s="88">
        <f t="shared" si="78"/>
        <v>0</v>
      </c>
      <c r="BC49" s="88">
        <f t="shared" si="48"/>
        <v>0</v>
      </c>
      <c r="BD49" s="88">
        <f t="shared" si="79"/>
        <v>19.750127859649965</v>
      </c>
      <c r="BE49" s="4">
        <f t="shared" si="80"/>
        <v>39.500255719299929</v>
      </c>
      <c r="BF49" s="4">
        <f t="shared" si="81"/>
        <v>0.22933431708391475</v>
      </c>
      <c r="BG49" s="88">
        <f t="shared" si="82"/>
        <v>477.94732085707835</v>
      </c>
      <c r="BH49" s="88">
        <f t="shared" si="83"/>
        <v>398.94680941847855</v>
      </c>
      <c r="BI49" s="86">
        <f t="shared" si="84"/>
        <v>5.086207320991547</v>
      </c>
      <c r="BJ49" s="86">
        <f>10*LOG10(($O49+NseMeas!T_0+BI49)/($O49+NseMeas!T_0))</f>
        <v>3.0218199633953252E-2</v>
      </c>
      <c r="BK49" s="86">
        <f t="shared" si="85"/>
        <v>31.958810194695069</v>
      </c>
      <c r="BL49" s="86">
        <f>10*LOG10(($O49+NseMeas!T_0+BK49)/($O49+NseMeas!T_0))</f>
        <v>0.18647465915983927</v>
      </c>
      <c r="BM49" s="86">
        <f t="shared" si="86"/>
        <v>22.645671316756502</v>
      </c>
      <c r="BN49" s="86">
        <f>10*LOG10(($O49+NseMeas!T_0+BM49)/($O49+NseMeas!T_0))</f>
        <v>0.13295564197125045</v>
      </c>
      <c r="BO49" s="86">
        <f t="shared" si="87"/>
        <v>0.45685723247589161</v>
      </c>
      <c r="BP49" s="86">
        <f>10*LOG10(($O49+NseMeas!T_0+BO49)/($O49+NseMeas!T_0))</f>
        <v>2.7228935689753929E-3</v>
      </c>
      <c r="BQ49" s="86">
        <f t="shared" si="88"/>
        <v>0</v>
      </c>
      <c r="BR49" s="86">
        <f>10*LOG10(($O49+NseMeas!T_0+BQ49)/($O49+NseMeas!T_0))</f>
        <v>0</v>
      </c>
      <c r="BT49" s="86">
        <f t="shared" si="89"/>
        <v>0</v>
      </c>
      <c r="BU49" s="86">
        <f>10*LOG10(($O49+NseMeas!T_0+BT49)/($O49+NseMeas!T_0))</f>
        <v>0</v>
      </c>
      <c r="BV49" s="86">
        <f t="shared" si="90"/>
        <v>31.958810194695069</v>
      </c>
      <c r="BW49" s="86">
        <f>10*LOG10(($O49+NseMeas!T_0+BV49)/($O49+NseMeas!T_0))</f>
        <v>0.18647465915983927</v>
      </c>
      <c r="BX49" s="175">
        <f>UseUserCal*X49*Calibration!AM49*nSD</f>
        <v>0</v>
      </c>
      <c r="BY49" s="86">
        <f>10*LOG10(($O49+NseMeas!T_0+BX49)/($O49+NseMeas!T_0))</f>
        <v>0</v>
      </c>
      <c r="BZ49" s="168">
        <f>UseUserCal*X49*Calibration!AP49*nSD</f>
        <v>0.4509699176714928</v>
      </c>
      <c r="CA49" s="86">
        <f>10*LOG10(($O49+NseMeas!T_0+BZ49)/($O49+NseMeas!T_0))</f>
        <v>2.6878157133072068E-3</v>
      </c>
      <c r="CB49" s="4">
        <f t="shared" si="91"/>
        <v>31.961991848556469</v>
      </c>
      <c r="CC49" s="86">
        <f>10*LOG10(($O49+NseMeas!T_0+CB49)/($O49+NseMeas!T_0))</f>
        <v>0.18649283066362965</v>
      </c>
    </row>
    <row r="50" spans="1:81">
      <c r="A50" s="4">
        <f t="shared" si="92"/>
        <v>23.859999999999992</v>
      </c>
      <c r="B50" s="164">
        <f>T_0*(1+10^('Meas. Noise Std'!AA51/10))</f>
        <v>1207.0605214488303</v>
      </c>
      <c r="C50" s="164">
        <f t="shared" si="49"/>
        <v>298</v>
      </c>
      <c r="D50" s="86">
        <f t="shared" si="50"/>
        <v>298</v>
      </c>
      <c r="E50" s="164">
        <f>IF(UsePreamp,T_0*(10^(Preamp!AE51/10)-1),0)</f>
        <v>627.06052144883006</v>
      </c>
      <c r="F50" s="164">
        <f>T_0*(10^((FieldFox!B50-kT0dB)/10)-1)</f>
        <v>22615.096770740252</v>
      </c>
      <c r="G50" s="86">
        <f>IF(UsePreamp,10^(Preamp!AD51/10),1)</f>
        <v>169.96519622633087</v>
      </c>
      <c r="H50" s="86">
        <f>T_0*(10^(DUT!AE51/10)-1)</f>
        <v>438.4470651377784</v>
      </c>
      <c r="I50" s="86">
        <f>10^(DUT!AD51/10)</f>
        <v>100</v>
      </c>
      <c r="J50" s="87">
        <f t="shared" si="51"/>
        <v>1.3848333489536372E-6</v>
      </c>
      <c r="K50" s="87">
        <f t="shared" si="52"/>
        <v>6.2330007678059442E-7</v>
      </c>
      <c r="L50" s="87">
        <f t="shared" si="53"/>
        <v>1.1293274240401184E-9</v>
      </c>
      <c r="M50" s="87">
        <f>IF(UseUserCal,Calibration!M50,0)</f>
        <v>5.2529775464057623E-9</v>
      </c>
      <c r="N50" s="87">
        <f>IF(UseUserCal,Calibration!L50,1)</f>
        <v>169.9651962263309</v>
      </c>
      <c r="O50" s="165">
        <f t="shared" si="54"/>
        <v>438.44706513777851</v>
      </c>
      <c r="P50" s="86">
        <f t="shared" si="55"/>
        <v>99.999999999999972</v>
      </c>
      <c r="Q50" s="170">
        <f t="shared" si="56"/>
        <v>1.0111722233243724E-6</v>
      </c>
      <c r="R50" s="87">
        <f t="shared" si="57"/>
        <v>3.6729350830997888E-7</v>
      </c>
      <c r="S50" s="87">
        <f t="shared" si="58"/>
        <v>2160759238.9101057</v>
      </c>
      <c r="T50" s="87">
        <f t="shared" si="59"/>
        <v>967035268.24915636</v>
      </c>
      <c r="U50" s="87">
        <f t="shared" si="60"/>
        <v>0.81009956406732897</v>
      </c>
      <c r="V50" s="87">
        <f t="shared" si="61"/>
        <v>-1.810099564067329</v>
      </c>
      <c r="W50" s="87">
        <f t="shared" si="62"/>
        <v>5.8835574706033903E-5</v>
      </c>
      <c r="X50" s="87">
        <f t="shared" si="63"/>
        <v>1193723970.6609495</v>
      </c>
      <c r="Y50" s="86">
        <f>FieldFox!AG50</f>
        <v>0.1</v>
      </c>
      <c r="Z50" s="86">
        <f>FieldFox!AF50</f>
        <v>0.1</v>
      </c>
      <c r="AA50" s="86">
        <f>FieldFox!AH50</f>
        <v>0.1</v>
      </c>
      <c r="AB50" s="87">
        <f t="shared" si="64"/>
        <v>1.3389238540091567E-3</v>
      </c>
      <c r="AC50" s="87">
        <f t="shared" si="65"/>
        <v>1.3389238540091567E-3</v>
      </c>
      <c r="AD50" s="87">
        <f t="shared" si="66"/>
        <v>1.3389238540091567E-3</v>
      </c>
      <c r="AE50" s="87">
        <f>DUT!AF51</f>
        <v>0.2</v>
      </c>
      <c r="AF50" s="4">
        <f t="shared" si="67"/>
        <v>0.40853898265363492</v>
      </c>
      <c r="AG50" s="4">
        <f>'Meas. Noise Std'!AC51</f>
        <v>0.1</v>
      </c>
      <c r="AH50" s="4">
        <f>'Meas. Noise Std'!AD51</f>
        <v>1</v>
      </c>
      <c r="AI50" s="4">
        <f>DUT!AH51</f>
        <v>0</v>
      </c>
      <c r="AJ50" s="166">
        <f t="shared" si="68"/>
        <v>1.6341559306145403E-2</v>
      </c>
      <c r="AK50" s="166">
        <f t="shared" si="69"/>
        <v>0</v>
      </c>
      <c r="AL50" s="163">
        <f t="shared" si="43"/>
        <v>1.6341559306145403E-2</v>
      </c>
      <c r="AM50" s="4">
        <f t="shared" si="70"/>
        <v>0</v>
      </c>
      <c r="AN50" s="4">
        <f>DUT!AG51</f>
        <v>0.31622776601683794</v>
      </c>
      <c r="AO50" s="4">
        <f>IF(AND(UsePreamp,UseUserCal),Preamp!AF51,0)</f>
        <v>0.3981071705534972</v>
      </c>
      <c r="AP50" s="4">
        <f t="shared" si="71"/>
        <v>0.40853898265363492</v>
      </c>
      <c r="AQ50" s="88">
        <f t="shared" si="72"/>
        <v>1.8032645204262916</v>
      </c>
      <c r="AR50" s="88">
        <f t="shared" si="73"/>
        <v>0</v>
      </c>
      <c r="AS50" s="88">
        <f t="shared" si="45"/>
        <v>1.8032645204262916</v>
      </c>
      <c r="AT50" s="88">
        <f t="shared" si="74"/>
        <v>1.7930636472930495</v>
      </c>
      <c r="AU50" s="88">
        <f t="shared" si="75"/>
        <v>15.979417315092252</v>
      </c>
      <c r="AV50" s="88">
        <f t="shared" si="46"/>
        <v>16.07970319916117</v>
      </c>
      <c r="AW50" s="88">
        <f>X50*Calibration!AT50*UseUserCal</f>
        <v>0.22842851019110202</v>
      </c>
      <c r="AX50" s="88">
        <f t="shared" si="76"/>
        <v>1.8050102324896765E-3</v>
      </c>
      <c r="AY50" s="167">
        <f t="shared" si="47"/>
        <v>0.22843564154935586</v>
      </c>
      <c r="AZ50" s="88">
        <f>U50*B50*(10^('Meas. Noise Std'!AB51/(ENRconf*10))-1)</f>
        <v>11.322844315741573</v>
      </c>
      <c r="BA50" s="88">
        <f t="shared" si="77"/>
        <v>0</v>
      </c>
      <c r="BB50" s="88">
        <f t="shared" si="78"/>
        <v>0</v>
      </c>
      <c r="BC50" s="88">
        <f t="shared" si="48"/>
        <v>0</v>
      </c>
      <c r="BD50" s="88">
        <f t="shared" si="79"/>
        <v>19.750129218427752</v>
      </c>
      <c r="BE50" s="4">
        <f t="shared" si="80"/>
        <v>39.500258436855503</v>
      </c>
      <c r="BF50" s="4">
        <f t="shared" si="81"/>
        <v>0.22933433245240842</v>
      </c>
      <c r="BG50" s="88">
        <f t="shared" si="82"/>
        <v>477.94732357463403</v>
      </c>
      <c r="BH50" s="88">
        <f t="shared" si="83"/>
        <v>398.94680670092299</v>
      </c>
      <c r="BI50" s="86">
        <f t="shared" si="84"/>
        <v>5.0859978104336836</v>
      </c>
      <c r="BJ50" s="86">
        <f>10*LOG10(($O50+NseMeas!T_0+BI50)/($O50+NseMeas!T_0))</f>
        <v>3.0216959209072681E-2</v>
      </c>
      <c r="BK50" s="86">
        <f t="shared" si="85"/>
        <v>31.958834630184505</v>
      </c>
      <c r="BL50" s="86">
        <f>10*LOG10(($O50+NseMeas!T_0+BK50)/($O50+NseMeas!T_0))</f>
        <v>0.18647479871949232</v>
      </c>
      <c r="BM50" s="86">
        <f t="shared" si="86"/>
        <v>22.645688631483146</v>
      </c>
      <c r="BN50" s="86">
        <f>10*LOG10(($O50+NseMeas!T_0+BM50)/($O50+NseMeas!T_0))</f>
        <v>0.13295574208791705</v>
      </c>
      <c r="BO50" s="86">
        <f t="shared" si="87"/>
        <v>0.45685702038220405</v>
      </c>
      <c r="BP50" s="86">
        <f>10*LOG10(($O50+NseMeas!T_0+BO50)/($O50+NseMeas!T_0))</f>
        <v>2.7228923052829393E-3</v>
      </c>
      <c r="BQ50" s="86">
        <f t="shared" si="88"/>
        <v>0</v>
      </c>
      <c r="BR50" s="86">
        <f>10*LOG10(($O50+NseMeas!T_0+BQ50)/($O50+NseMeas!T_0))</f>
        <v>0</v>
      </c>
      <c r="BT50" s="86">
        <f t="shared" si="89"/>
        <v>0</v>
      </c>
      <c r="BU50" s="86">
        <f>10*LOG10(($O50+NseMeas!T_0+BT50)/($O50+NseMeas!T_0))</f>
        <v>0</v>
      </c>
      <c r="BV50" s="86">
        <f t="shared" si="90"/>
        <v>31.958834630184505</v>
      </c>
      <c r="BW50" s="86">
        <f>10*LOG10(($O50+NseMeas!T_0+BV50)/($O50+NseMeas!T_0))</f>
        <v>0.18647479871949232</v>
      </c>
      <c r="BX50" s="175">
        <f>UseUserCal*X50*Calibration!AM50*nSD</f>
        <v>0</v>
      </c>
      <c r="BY50" s="86">
        <f>10*LOG10(($O50+NseMeas!T_0+BX50)/($O50+NseMeas!T_0))</f>
        <v>0</v>
      </c>
      <c r="BZ50" s="168">
        <f>UseUserCal*X50*Calibration!AP50*nSD</f>
        <v>0.45096991767149275</v>
      </c>
      <c r="CA50" s="86">
        <f>10*LOG10(($O50+NseMeas!T_0+BZ50)/($O50+NseMeas!T_0))</f>
        <v>2.6878157133072068E-3</v>
      </c>
      <c r="CB50" s="4">
        <f t="shared" si="91"/>
        <v>31.962016281613476</v>
      </c>
      <c r="CC50" s="86">
        <f>10*LOG10(($O50+NseMeas!T_0+CB50)/($O50+NseMeas!T_0))</f>
        <v>0.18649297020880681</v>
      </c>
    </row>
    <row r="51" spans="1:81">
      <c r="A51" s="4">
        <f t="shared" si="92"/>
        <v>24.387999999999991</v>
      </c>
      <c r="B51" s="164">
        <f>T_0*(1+10^('Meas. Noise Std'!AA52/10))</f>
        <v>1207.0605214488303</v>
      </c>
      <c r="C51" s="164">
        <f t="shared" si="49"/>
        <v>298</v>
      </c>
      <c r="D51" s="86">
        <f t="shared" si="50"/>
        <v>298</v>
      </c>
      <c r="E51" s="164">
        <f>IF(UsePreamp,T_0*(10^(Preamp!AE52/10)-1),0)</f>
        <v>627.06052144883006</v>
      </c>
      <c r="F51" s="164">
        <f>T_0*(10^((FieldFox!B51-kT0dB)/10)-1)</f>
        <v>22615.096770740252</v>
      </c>
      <c r="G51" s="86">
        <f>IF(UsePreamp,10^(Preamp!AD52/10),1)</f>
        <v>175.42359222501804</v>
      </c>
      <c r="H51" s="86">
        <f>T_0*(10^(DUT!AE52/10)-1)</f>
        <v>438.4470651377784</v>
      </c>
      <c r="I51" s="86">
        <f>10^(DUT!AD52/10)</f>
        <v>100</v>
      </c>
      <c r="J51" s="87">
        <f t="shared" si="51"/>
        <v>1.4292711799519502E-6</v>
      </c>
      <c r="K51" s="87">
        <f t="shared" si="52"/>
        <v>6.4328142928809213E-7</v>
      </c>
      <c r="L51" s="87">
        <f t="shared" si="53"/>
        <v>1.1293274240401184E-9</v>
      </c>
      <c r="M51" s="87">
        <f>IF(UseUserCal,Calibration!M51,0)</f>
        <v>5.4216757990898777E-9</v>
      </c>
      <c r="N51" s="87">
        <f>IF(UseUserCal,Calibration!L51,1)</f>
        <v>175.42359222501807</v>
      </c>
      <c r="O51" s="165">
        <f t="shared" si="54"/>
        <v>438.44706513777874</v>
      </c>
      <c r="P51" s="86">
        <f t="shared" si="55"/>
        <v>99.999999999999957</v>
      </c>
      <c r="Q51" s="170">
        <f t="shared" si="56"/>
        <v>1.0436458034473737E-6</v>
      </c>
      <c r="R51" s="87">
        <f t="shared" si="57"/>
        <v>3.7908906093260675E-7</v>
      </c>
      <c r="S51" s="87">
        <f t="shared" si="58"/>
        <v>2093526789.3047762</v>
      </c>
      <c r="T51" s="87">
        <f t="shared" si="59"/>
        <v>936946158.72909153</v>
      </c>
      <c r="U51" s="87">
        <f t="shared" si="60"/>
        <v>0.81010016419065334</v>
      </c>
      <c r="V51" s="87">
        <f t="shared" si="61"/>
        <v>-1.8101001641906533</v>
      </c>
      <c r="W51" s="87">
        <f t="shared" si="62"/>
        <v>5.7004875303048621E-5</v>
      </c>
      <c r="X51" s="87">
        <f t="shared" si="63"/>
        <v>1156580630.5756848</v>
      </c>
      <c r="Y51" s="86">
        <f>FieldFox!AG51</f>
        <v>0.1</v>
      </c>
      <c r="Z51" s="86">
        <f>FieldFox!AF51</f>
        <v>0.1</v>
      </c>
      <c r="AA51" s="86">
        <f>FieldFox!AH51</f>
        <v>0.1</v>
      </c>
      <c r="AB51" s="87">
        <f t="shared" si="64"/>
        <v>1.3389238540091567E-3</v>
      </c>
      <c r="AC51" s="87">
        <f t="shared" si="65"/>
        <v>1.3389238540091567E-3</v>
      </c>
      <c r="AD51" s="87">
        <f t="shared" si="66"/>
        <v>1.3389238540091567E-3</v>
      </c>
      <c r="AE51" s="87">
        <f>DUT!AF52</f>
        <v>0.2</v>
      </c>
      <c r="AF51" s="4">
        <f t="shared" si="67"/>
        <v>0.40853898265363492</v>
      </c>
      <c r="AG51" s="4">
        <f>'Meas. Noise Std'!AC52</f>
        <v>0.1</v>
      </c>
      <c r="AH51" s="4">
        <f>'Meas. Noise Std'!AD52</f>
        <v>1</v>
      </c>
      <c r="AI51" s="4">
        <f>DUT!AH52</f>
        <v>0</v>
      </c>
      <c r="AJ51" s="166">
        <f t="shared" si="68"/>
        <v>1.6341559306145403E-2</v>
      </c>
      <c r="AK51" s="166">
        <f t="shared" si="69"/>
        <v>0</v>
      </c>
      <c r="AL51" s="163">
        <f t="shared" si="43"/>
        <v>1.6341559306145403E-2</v>
      </c>
      <c r="AM51" s="4">
        <f t="shared" si="70"/>
        <v>0</v>
      </c>
      <c r="AN51" s="4">
        <f>DUT!AG52</f>
        <v>0.31622776601683794</v>
      </c>
      <c r="AO51" s="4">
        <f>IF(AND(UsePreamp,UseUserCal),Preamp!AF52,0)</f>
        <v>0.3981071705534972</v>
      </c>
      <c r="AP51" s="4">
        <f t="shared" si="71"/>
        <v>0.40853898265363492</v>
      </c>
      <c r="AQ51" s="88">
        <f t="shared" si="72"/>
        <v>1.803164778311154</v>
      </c>
      <c r="AR51" s="88">
        <f t="shared" si="73"/>
        <v>0</v>
      </c>
      <c r="AS51" s="88">
        <f t="shared" si="45"/>
        <v>1.803164778311154</v>
      </c>
      <c r="AT51" s="88">
        <f t="shared" si="74"/>
        <v>1.7930200690068794</v>
      </c>
      <c r="AU51" s="88">
        <f t="shared" si="75"/>
        <v>15.979429152675516</v>
      </c>
      <c r="AV51" s="88">
        <f t="shared" si="46"/>
        <v>16.079710103519826</v>
      </c>
      <c r="AW51" s="88">
        <f>X51*Calibration!AT51*UseUserCal</f>
        <v>0.22842840801407463</v>
      </c>
      <c r="AX51" s="88">
        <f t="shared" si="76"/>
        <v>1.7488464035220592E-3</v>
      </c>
      <c r="AY51" s="167">
        <f t="shared" si="47"/>
        <v>0.22843510249431384</v>
      </c>
      <c r="AZ51" s="88">
        <f>U51*B51*(10^('Meas. Noise Std'!AB52/(ENRconf*10))-1)</f>
        <v>11.322852703726548</v>
      </c>
      <c r="BA51" s="88">
        <f t="shared" si="77"/>
        <v>0</v>
      </c>
      <c r="BB51" s="88">
        <f t="shared" si="78"/>
        <v>0</v>
      </c>
      <c r="BC51" s="88">
        <f t="shared" si="48"/>
        <v>0</v>
      </c>
      <c r="BD51" s="88">
        <f t="shared" si="79"/>
        <v>19.750130535703267</v>
      </c>
      <c r="BE51" s="4">
        <f t="shared" si="80"/>
        <v>39.500261071406534</v>
      </c>
      <c r="BF51" s="4">
        <f t="shared" si="81"/>
        <v>0.22933434735148928</v>
      </c>
      <c r="BG51" s="88">
        <f t="shared" si="82"/>
        <v>477.94732620918529</v>
      </c>
      <c r="BH51" s="88">
        <f t="shared" si="83"/>
        <v>398.94680406637218</v>
      </c>
      <c r="BI51" s="86">
        <f t="shared" si="84"/>
        <v>5.0857948224705609</v>
      </c>
      <c r="BJ51" s="86">
        <f>10*LOG10(($O51+NseMeas!T_0+BI51)/($O51+NseMeas!T_0))</f>
        <v>3.0215757401425066E-2</v>
      </c>
      <c r="BK51" s="86">
        <f t="shared" si="85"/>
        <v>31.958858305351033</v>
      </c>
      <c r="BL51" s="86">
        <f>10*LOG10(($O51+NseMeas!T_0+BK51)/($O51+NseMeas!T_0))</f>
        <v>0.18647493393667114</v>
      </c>
      <c r="BM51" s="86">
        <f t="shared" si="86"/>
        <v>22.645705407453097</v>
      </c>
      <c r="BN51" s="86">
        <f>10*LOG10(($O51+NseMeas!T_0+BM51)/($O51+NseMeas!T_0))</f>
        <v>0.13295583908939965</v>
      </c>
      <c r="BO51" s="86">
        <f t="shared" si="87"/>
        <v>0.45685681602814926</v>
      </c>
      <c r="BP51" s="86">
        <f>10*LOG10(($O51+NseMeas!T_0+BO51)/($O51+NseMeas!T_0))</f>
        <v>2.7228910877027061E-3</v>
      </c>
      <c r="BQ51" s="86">
        <f t="shared" si="88"/>
        <v>0</v>
      </c>
      <c r="BR51" s="86">
        <f>10*LOG10(($O51+NseMeas!T_0+BQ51)/($O51+NseMeas!T_0))</f>
        <v>0</v>
      </c>
      <c r="BT51" s="86">
        <f t="shared" si="89"/>
        <v>0</v>
      </c>
      <c r="BU51" s="86">
        <f>10*LOG10(($O51+NseMeas!T_0+BT51)/($O51+NseMeas!T_0))</f>
        <v>0</v>
      </c>
      <c r="BV51" s="86">
        <f t="shared" si="90"/>
        <v>31.958858305351033</v>
      </c>
      <c r="BW51" s="86">
        <f>10*LOG10(($O51+NseMeas!T_0+BV51)/($O51+NseMeas!T_0))</f>
        <v>0.18647493393667114</v>
      </c>
      <c r="BX51" s="175">
        <f>UseUserCal*X51*Calibration!AM51*nSD</f>
        <v>0</v>
      </c>
      <c r="BY51" s="86">
        <f>10*LOG10(($O51+NseMeas!T_0+BX51)/($O51+NseMeas!T_0))</f>
        <v>0</v>
      </c>
      <c r="BZ51" s="168">
        <f>UseUserCal*X51*Calibration!AP51*nSD</f>
        <v>0.45096991767149291</v>
      </c>
      <c r="CA51" s="86">
        <f>10*LOG10(($O51+NseMeas!T_0+BZ51)/($O51+NseMeas!T_0))</f>
        <v>2.6878157133072068E-3</v>
      </c>
      <c r="CB51" s="4">
        <f t="shared" si="91"/>
        <v>31.962039954423265</v>
      </c>
      <c r="CC51" s="86">
        <f>10*LOG10(($O51+NseMeas!T_0+CB51)/($O51+NseMeas!T_0))</f>
        <v>0.18649310541195924</v>
      </c>
    </row>
    <row r="52" spans="1:81">
      <c r="A52" s="4">
        <f t="shared" si="92"/>
        <v>24.91599999999999</v>
      </c>
      <c r="B52" s="164">
        <f>T_0*(1+10^('Meas. Noise Std'!AA53/10))</f>
        <v>1207.0605214488303</v>
      </c>
      <c r="C52" s="164">
        <f t="shared" si="49"/>
        <v>298</v>
      </c>
      <c r="D52" s="86">
        <f t="shared" si="50"/>
        <v>298</v>
      </c>
      <c r="E52" s="164">
        <f>IF(UsePreamp,T_0*(10^(Preamp!AE53/10)-1),0)</f>
        <v>627.06052144883006</v>
      </c>
      <c r="F52" s="164">
        <f>T_0*(10^((FieldFox!B52-kT0dB)/10)-1)</f>
        <v>22615.096770740252</v>
      </c>
      <c r="G52" s="86">
        <f>IF(UsePreamp,10^(Preamp!AD53/10),1)</f>
        <v>181.05728344613894</v>
      </c>
      <c r="H52" s="86">
        <f>T_0*(10^(DUT!AE53/10)-1)</f>
        <v>438.4470651377784</v>
      </c>
      <c r="I52" s="86">
        <f>10^(DUT!AD53/10)</f>
        <v>100</v>
      </c>
      <c r="J52" s="87">
        <f t="shared" si="51"/>
        <v>1.4751361224077676E-6</v>
      </c>
      <c r="K52" s="87">
        <f t="shared" si="52"/>
        <v>6.6390447866646008E-7</v>
      </c>
      <c r="L52" s="87">
        <f t="shared" si="53"/>
        <v>1.1293274240401184E-9</v>
      </c>
      <c r="M52" s="87">
        <f>IF(UseUserCal,Calibration!M52,0)</f>
        <v>5.5957917601512464E-9</v>
      </c>
      <c r="N52" s="87">
        <f>IF(UseUserCal,Calibration!L52,1)</f>
        <v>181.05728344613894</v>
      </c>
      <c r="O52" s="165">
        <f t="shared" si="54"/>
        <v>438.44706513777851</v>
      </c>
      <c r="P52" s="86">
        <f t="shared" si="55"/>
        <v>99.999999999999972</v>
      </c>
      <c r="Q52" s="170">
        <f t="shared" si="56"/>
        <v>1.0771622656647208E-6</v>
      </c>
      <c r="R52" s="87">
        <f t="shared" si="57"/>
        <v>3.9126342521001558E-7</v>
      </c>
      <c r="S52" s="87">
        <f t="shared" si="58"/>
        <v>2028386269.69524</v>
      </c>
      <c r="T52" s="87">
        <f t="shared" si="59"/>
        <v>907793244.92570913</v>
      </c>
      <c r="U52" s="87">
        <f t="shared" si="60"/>
        <v>0.81010074564082912</v>
      </c>
      <c r="V52" s="87">
        <f t="shared" si="61"/>
        <v>-1.8101007456408291</v>
      </c>
      <c r="W52" s="87">
        <f t="shared" si="62"/>
        <v>5.5231139060886274E-5</v>
      </c>
      <c r="X52" s="87">
        <f t="shared" si="63"/>
        <v>1120593024.7695308</v>
      </c>
      <c r="Y52" s="86">
        <f>FieldFox!AG52</f>
        <v>0.1</v>
      </c>
      <c r="Z52" s="86">
        <f>FieldFox!AF52</f>
        <v>0.1</v>
      </c>
      <c r="AA52" s="86">
        <f>FieldFox!AH52</f>
        <v>0.1</v>
      </c>
      <c r="AB52" s="87">
        <f t="shared" si="64"/>
        <v>1.3389238540091567E-3</v>
      </c>
      <c r="AC52" s="87">
        <f t="shared" si="65"/>
        <v>1.3389238540091567E-3</v>
      </c>
      <c r="AD52" s="87">
        <f t="shared" si="66"/>
        <v>1.3389238540091567E-3</v>
      </c>
      <c r="AE52" s="87">
        <f>DUT!AF53</f>
        <v>0.2</v>
      </c>
      <c r="AF52" s="4">
        <f t="shared" si="67"/>
        <v>0.40853898265363492</v>
      </c>
      <c r="AG52" s="4">
        <f>'Meas. Noise Std'!AC53</f>
        <v>0.1</v>
      </c>
      <c r="AH52" s="4">
        <f>'Meas. Noise Std'!AD53</f>
        <v>1</v>
      </c>
      <c r="AI52" s="4">
        <f>DUT!AH53</f>
        <v>0</v>
      </c>
      <c r="AJ52" s="166">
        <f t="shared" si="68"/>
        <v>1.6341559306145403E-2</v>
      </c>
      <c r="AK52" s="166">
        <f t="shared" si="69"/>
        <v>0</v>
      </c>
      <c r="AL52" s="163">
        <f t="shared" si="43"/>
        <v>1.6341559306145403E-2</v>
      </c>
      <c r="AM52" s="4">
        <f t="shared" si="70"/>
        <v>0</v>
      </c>
      <c r="AN52" s="4">
        <f>DUT!AG53</f>
        <v>0.31622776601683794</v>
      </c>
      <c r="AO52" s="4">
        <f>IF(AND(UsePreamp,UseUserCal),Preamp!AF53,0)</f>
        <v>0.3981071705534972</v>
      </c>
      <c r="AP52" s="4">
        <f t="shared" si="71"/>
        <v>0.40853898265363492</v>
      </c>
      <c r="AQ52" s="88">
        <f t="shared" si="72"/>
        <v>1.8030681396601667</v>
      </c>
      <c r="AR52" s="88">
        <f t="shared" si="73"/>
        <v>0</v>
      </c>
      <c r="AS52" s="88">
        <f t="shared" si="45"/>
        <v>1.8030681396601667</v>
      </c>
      <c r="AT52" s="88">
        <f t="shared" si="74"/>
        <v>1.7929778466182102</v>
      </c>
      <c r="AU52" s="88">
        <f t="shared" si="75"/>
        <v>15.979440621926235</v>
      </c>
      <c r="AV52" s="88">
        <f t="shared" si="46"/>
        <v>16.079716793156837</v>
      </c>
      <c r="AW52" s="88">
        <f>X52*Calibration!AT52*UseUserCal</f>
        <v>0.22842830955152604</v>
      </c>
      <c r="AX52" s="88">
        <f t="shared" si="76"/>
        <v>1.6944301412039401E-3</v>
      </c>
      <c r="AY52" s="167">
        <f t="shared" si="47"/>
        <v>0.22843459391710186</v>
      </c>
      <c r="AZ52" s="88">
        <f>U52*B52*(10^('Meas. Noise Std'!AB53/(ENRconf*10))-1)</f>
        <v>11.322860830715021</v>
      </c>
      <c r="BA52" s="88">
        <f t="shared" si="77"/>
        <v>0</v>
      </c>
      <c r="BB52" s="88">
        <f t="shared" si="78"/>
        <v>0</v>
      </c>
      <c r="BC52" s="88">
        <f t="shared" si="48"/>
        <v>0</v>
      </c>
      <c r="BD52" s="88">
        <f t="shared" si="79"/>
        <v>19.750131812720291</v>
      </c>
      <c r="BE52" s="4">
        <f t="shared" si="80"/>
        <v>39.500263625440581</v>
      </c>
      <c r="BF52" s="4">
        <f t="shared" si="81"/>
        <v>0.22933436179522579</v>
      </c>
      <c r="BG52" s="88">
        <f t="shared" si="82"/>
        <v>477.9473287632191</v>
      </c>
      <c r="BH52" s="88">
        <f t="shared" si="83"/>
        <v>398.94680151233791</v>
      </c>
      <c r="BI52" s="86">
        <f t="shared" si="84"/>
        <v>5.0855981539302739</v>
      </c>
      <c r="BJ52" s="86">
        <f>10*LOG10(($O52+NseMeas!T_0+BI52)/($O52+NseMeas!T_0))</f>
        <v>3.021459300814577E-2</v>
      </c>
      <c r="BK52" s="86">
        <f t="shared" si="85"/>
        <v>31.958881243852471</v>
      </c>
      <c r="BL52" s="86">
        <f>10*LOG10(($O52+NseMeas!T_0+BK52)/($O52+NseMeas!T_0))</f>
        <v>0.18647506494649263</v>
      </c>
      <c r="BM52" s="86">
        <f t="shared" si="86"/>
        <v>22.645721661430041</v>
      </c>
      <c r="BN52" s="86">
        <f>10*LOG10(($O52+NseMeas!T_0+BM52)/($O52+NseMeas!T_0))</f>
        <v>0.13295593307262904</v>
      </c>
      <c r="BO52" s="86">
        <f t="shared" si="87"/>
        <v>0.45685661910305209</v>
      </c>
      <c r="BP52" s="86">
        <f>10*LOG10(($O52+NseMeas!T_0+BO52)/($O52+NseMeas!T_0))</f>
        <v>2.7228899143872361E-3</v>
      </c>
      <c r="BQ52" s="86">
        <f t="shared" si="88"/>
        <v>0</v>
      </c>
      <c r="BR52" s="86">
        <f>10*LOG10(($O52+NseMeas!T_0+BQ52)/($O52+NseMeas!T_0))</f>
        <v>0</v>
      </c>
      <c r="BT52" s="86">
        <f t="shared" si="89"/>
        <v>0</v>
      </c>
      <c r="BU52" s="86">
        <f>10*LOG10(($O52+NseMeas!T_0+BT52)/($O52+NseMeas!T_0))</f>
        <v>0</v>
      </c>
      <c r="BV52" s="86">
        <f t="shared" si="90"/>
        <v>31.958881243852471</v>
      </c>
      <c r="BW52" s="86">
        <f>10*LOG10(($O52+NseMeas!T_0+BV52)/($O52+NseMeas!T_0))</f>
        <v>0.18647506494649263</v>
      </c>
      <c r="BX52" s="175">
        <f>UseUserCal*X52*Calibration!AM52*nSD</f>
        <v>0</v>
      </c>
      <c r="BY52" s="86">
        <f>10*LOG10(($O52+NseMeas!T_0+BX52)/($O52+NseMeas!T_0))</f>
        <v>0</v>
      </c>
      <c r="BZ52" s="168">
        <f>UseUserCal*X52*Calibration!AP52*nSD</f>
        <v>0.45096991767149275</v>
      </c>
      <c r="CA52" s="86">
        <f>10*LOG10(($O52+NseMeas!T_0+BZ52)/($O52+NseMeas!T_0))</f>
        <v>2.6878157133072068E-3</v>
      </c>
      <c r="CB52" s="4">
        <f t="shared" si="91"/>
        <v>31.962062890641302</v>
      </c>
      <c r="CC52" s="86">
        <f>10*LOG10(($O52+NseMeas!T_0+CB52)/($O52+NseMeas!T_0))</f>
        <v>0.18649323640819138</v>
      </c>
    </row>
    <row r="53" spans="1:81">
      <c r="A53" s="4">
        <f t="shared" si="92"/>
        <v>25.443999999999988</v>
      </c>
      <c r="B53" s="164">
        <f>T_0*(1+10^('Meas. Noise Std'!AA54/10))</f>
        <v>1207.0605214488303</v>
      </c>
      <c r="C53" s="164">
        <f t="shared" si="49"/>
        <v>298</v>
      </c>
      <c r="D53" s="86">
        <f t="shared" si="50"/>
        <v>298</v>
      </c>
      <c r="E53" s="164">
        <f>IF(UsePreamp,T_0*(10^(Preamp!AE54/10)-1),0)</f>
        <v>627.06052144883006</v>
      </c>
      <c r="F53" s="164">
        <f>T_0*(10^((FieldFox!B53-kT0dB)/10)-1)</f>
        <v>45411.676407373438</v>
      </c>
      <c r="G53" s="86">
        <f>IF(UsePreamp,10^(Preamp!AD54/10),1)</f>
        <v>186.87189945834621</v>
      </c>
      <c r="H53" s="86">
        <f>T_0*(10^(DUT!AE54/10)-1)</f>
        <v>438.4470651377784</v>
      </c>
      <c r="I53" s="86">
        <f>10^(DUT!AD54/10)</f>
        <v>100</v>
      </c>
      <c r="J53" s="87">
        <f t="shared" si="51"/>
        <v>1.5235975922960518E-6</v>
      </c>
      <c r="K53" s="87">
        <f t="shared" si="52"/>
        <v>6.8631341746885377E-7</v>
      </c>
      <c r="L53" s="87">
        <f t="shared" si="53"/>
        <v>2.2529120191543056E-9</v>
      </c>
      <c r="M53" s="87">
        <f>IF(UseUserCal,Calibration!M53,0)</f>
        <v>5.7754994181380177E-9</v>
      </c>
      <c r="N53" s="87">
        <f>IF(UseUserCal,Calibration!L53,1)</f>
        <v>186.87189945834621</v>
      </c>
      <c r="O53" s="165">
        <f t="shared" si="54"/>
        <v>438.44706513777851</v>
      </c>
      <c r="P53" s="86">
        <f t="shared" si="55"/>
        <v>99.999999999999972</v>
      </c>
      <c r="Q53" s="170">
        <f t="shared" si="56"/>
        <v>1.1117551019122763E-6</v>
      </c>
      <c r="R53" s="87">
        <f t="shared" si="57"/>
        <v>4.0382876659764332E-7</v>
      </c>
      <c r="S53" s="87">
        <f t="shared" si="58"/>
        <v>1965272591.2003968</v>
      </c>
      <c r="T53" s="87">
        <f t="shared" si="59"/>
        <v>879547399.2290498</v>
      </c>
      <c r="U53" s="87">
        <f t="shared" si="60"/>
        <v>0.81010130899888144</v>
      </c>
      <c r="V53" s="87">
        <f t="shared" si="61"/>
        <v>-1.8101013089988813</v>
      </c>
      <c r="W53" s="87">
        <f t="shared" si="62"/>
        <v>5.3512593541272397E-5</v>
      </c>
      <c r="X53" s="87">
        <f t="shared" si="63"/>
        <v>1085725191.9713469</v>
      </c>
      <c r="Y53" s="86">
        <f>FieldFox!AG53</f>
        <v>0.1</v>
      </c>
      <c r="Z53" s="86">
        <f>FieldFox!AF53</f>
        <v>0.1</v>
      </c>
      <c r="AA53" s="86">
        <f>FieldFox!AH53</f>
        <v>0.1</v>
      </c>
      <c r="AB53" s="87">
        <f t="shared" si="64"/>
        <v>1.3389238540091567E-3</v>
      </c>
      <c r="AC53" s="87">
        <f t="shared" si="65"/>
        <v>1.3389238540091567E-3</v>
      </c>
      <c r="AD53" s="87">
        <f t="shared" si="66"/>
        <v>1.3389238540091567E-3</v>
      </c>
      <c r="AE53" s="87">
        <f>DUT!AF54</f>
        <v>0.2</v>
      </c>
      <c r="AF53" s="4">
        <f t="shared" si="67"/>
        <v>0.40853898265363492</v>
      </c>
      <c r="AG53" s="4">
        <f>'Meas. Noise Std'!AC54</f>
        <v>0.1</v>
      </c>
      <c r="AH53" s="4">
        <f>'Meas. Noise Std'!AD54</f>
        <v>1</v>
      </c>
      <c r="AI53" s="4">
        <f>DUT!AH54</f>
        <v>0</v>
      </c>
      <c r="AJ53" s="166">
        <f t="shared" si="68"/>
        <v>1.6341559306145403E-2</v>
      </c>
      <c r="AK53" s="166">
        <f t="shared" si="69"/>
        <v>0</v>
      </c>
      <c r="AL53" s="163">
        <f t="shared" si="43"/>
        <v>1.6341559306145403E-2</v>
      </c>
      <c r="AM53" s="4">
        <f t="shared" si="70"/>
        <v>0</v>
      </c>
      <c r="AN53" s="4">
        <f>DUT!AG54</f>
        <v>0.31622776601683794</v>
      </c>
      <c r="AO53" s="4">
        <f>IF(AND(UsePreamp,UseUserCal),Preamp!AF54,0)</f>
        <v>0.3981071705534972</v>
      </c>
      <c r="AP53" s="4">
        <f t="shared" si="71"/>
        <v>0.40853898265363492</v>
      </c>
      <c r="AQ53" s="88">
        <f t="shared" si="72"/>
        <v>1.8059310526311654</v>
      </c>
      <c r="AR53" s="88">
        <f t="shared" si="73"/>
        <v>0</v>
      </c>
      <c r="AS53" s="88">
        <f t="shared" si="45"/>
        <v>1.8059310526311654</v>
      </c>
      <c r="AT53" s="88">
        <f t="shared" si="74"/>
        <v>1.7942601239619225</v>
      </c>
      <c r="AU53" s="88">
        <f t="shared" si="75"/>
        <v>15.979451734305272</v>
      </c>
      <c r="AV53" s="88">
        <f t="shared" si="46"/>
        <v>16.079870867685212</v>
      </c>
      <c r="AW53" s="88">
        <f>X53*Calibration!AT53*UseUserCal</f>
        <v>0.22843141504727998</v>
      </c>
      <c r="AX53" s="88">
        <f t="shared" si="76"/>
        <v>3.2750657684899155E-3</v>
      </c>
      <c r="AY53" s="167">
        <f t="shared" si="47"/>
        <v>0.22845489146938971</v>
      </c>
      <c r="AZ53" s="88">
        <f>U53*B53*(10^('Meas. Noise Std'!AB54/(ENRconf*10))-1)</f>
        <v>11.322868704828034</v>
      </c>
      <c r="BA53" s="88">
        <f t="shared" si="77"/>
        <v>0</v>
      </c>
      <c r="BB53" s="88">
        <f t="shared" si="78"/>
        <v>0</v>
      </c>
      <c r="BC53" s="88">
        <f t="shared" si="48"/>
        <v>0</v>
      </c>
      <c r="BD53" s="88">
        <f t="shared" si="79"/>
        <v>19.750523573629625</v>
      </c>
      <c r="BE53" s="4">
        <f t="shared" si="80"/>
        <v>39.50104714725925</v>
      </c>
      <c r="BF53" s="4">
        <f t="shared" si="81"/>
        <v>0.2293387928156353</v>
      </c>
      <c r="BG53" s="88">
        <f t="shared" si="82"/>
        <v>477.94811228503778</v>
      </c>
      <c r="BH53" s="88">
        <f t="shared" si="83"/>
        <v>398.94601799051924</v>
      </c>
      <c r="BI53" s="86">
        <f t="shared" si="84"/>
        <v>5.0914701552118125</v>
      </c>
      <c r="BJ53" s="86">
        <f>10*LOG10(($O53+NseMeas!T_0+BI53)/($O53+NseMeas!T_0))</f>
        <v>3.0249358570400165E-2</v>
      </c>
      <c r="BK53" s="86">
        <f t="shared" si="85"/>
        <v>31.958903468610544</v>
      </c>
      <c r="BL53" s="86">
        <f>10*LOG10(($O53+NseMeas!T_0+BK53)/($O53+NseMeas!T_0))</f>
        <v>0.18647519187987224</v>
      </c>
      <c r="BM53" s="86">
        <f t="shared" si="86"/>
        <v>22.645737409656068</v>
      </c>
      <c r="BN53" s="86">
        <f>10*LOG10(($O53+NseMeas!T_0+BM53)/($O53+NseMeas!T_0))</f>
        <v>0.13295602413151972</v>
      </c>
      <c r="BO53" s="86">
        <f t="shared" si="87"/>
        <v>0.45686283009455997</v>
      </c>
      <c r="BP53" s="86">
        <f>10*LOG10(($O53+NseMeas!T_0+BO53)/($O53+NseMeas!T_0))</f>
        <v>2.7229269206266319E-3</v>
      </c>
      <c r="BQ53" s="86">
        <f t="shared" si="88"/>
        <v>0</v>
      </c>
      <c r="BR53" s="86">
        <f>10*LOG10(($O53+NseMeas!T_0+BQ53)/($O53+NseMeas!T_0))</f>
        <v>0</v>
      </c>
      <c r="BT53" s="86">
        <f t="shared" si="89"/>
        <v>0</v>
      </c>
      <c r="BU53" s="86">
        <f>10*LOG10(($O53+NseMeas!T_0+BT53)/($O53+NseMeas!T_0))</f>
        <v>0</v>
      </c>
      <c r="BV53" s="86">
        <f t="shared" si="90"/>
        <v>31.958903468610544</v>
      </c>
      <c r="BW53" s="86">
        <f>10*LOG10(($O53+NseMeas!T_0+BV53)/($O53+NseMeas!T_0))</f>
        <v>0.18647519187987224</v>
      </c>
      <c r="BX53" s="175">
        <f>UseUserCal*X53*Calibration!AM53*nSD</f>
        <v>0</v>
      </c>
      <c r="BY53" s="86">
        <f>10*LOG10(($O53+NseMeas!T_0+BX53)/($O53+NseMeas!T_0))</f>
        <v>0</v>
      </c>
      <c r="BZ53" s="168">
        <f>UseUserCal*X53*Calibration!AP53*nSD</f>
        <v>0.45096991767149275</v>
      </c>
      <c r="CA53" s="86">
        <f>10*LOG10(($O53+NseMeas!T_0+BZ53)/($O53+NseMeas!T_0))</f>
        <v>2.6878157133072068E-3</v>
      </c>
      <c r="CB53" s="4">
        <f t="shared" si="91"/>
        <v>31.962085113187026</v>
      </c>
      <c r="CC53" s="86">
        <f>10*LOG10(($O53+NseMeas!T_0+CB53)/($O53+NseMeas!T_0))</f>
        <v>0.18649336332840422</v>
      </c>
    </row>
    <row r="54" spans="1:81">
      <c r="A54" s="4">
        <f t="shared" si="92"/>
        <v>25.971999999999987</v>
      </c>
      <c r="B54" s="164">
        <f>T_0*(1+10^('Meas. Noise Std'!AA55/10))</f>
        <v>1207.0605214488303</v>
      </c>
      <c r="C54" s="164">
        <f t="shared" si="49"/>
        <v>298</v>
      </c>
      <c r="D54" s="86">
        <f t="shared" si="50"/>
        <v>298</v>
      </c>
      <c r="E54" s="164">
        <f>IF(UsePreamp,T_0*(10^(Preamp!AE55/10)-1),0)</f>
        <v>627.06052144883006</v>
      </c>
      <c r="F54" s="164">
        <f>T_0*(10^((FieldFox!B54-kT0dB)/10)-1)</f>
        <v>45411.676407373438</v>
      </c>
      <c r="G54" s="86">
        <f>IF(UsePreamp,10^(Preamp!AD55/10),1)</f>
        <v>192.87325062268857</v>
      </c>
      <c r="H54" s="86">
        <f>T_0*(10^(DUT!AE55/10)-1)</f>
        <v>438.4470651377784</v>
      </c>
      <c r="I54" s="86">
        <f>10^(DUT!AD55/10)</f>
        <v>100</v>
      </c>
      <c r="J54" s="87">
        <f t="shared" si="51"/>
        <v>1.5724557236714081E-6</v>
      </c>
      <c r="K54" s="87">
        <f t="shared" si="52"/>
        <v>7.0828234628326156E-7</v>
      </c>
      <c r="L54" s="87">
        <f t="shared" si="53"/>
        <v>2.2529120191543056E-9</v>
      </c>
      <c r="M54" s="87">
        <f>IF(UseUserCal,Calibration!M54,0)</f>
        <v>5.9609783492034492E-9</v>
      </c>
      <c r="N54" s="87">
        <f>IF(UseUserCal,Calibration!L54,1)</f>
        <v>192.87325062268863</v>
      </c>
      <c r="O54" s="165">
        <f t="shared" si="54"/>
        <v>438.44706513777834</v>
      </c>
      <c r="P54" s="86">
        <f t="shared" si="55"/>
        <v>99.999999999999972</v>
      </c>
      <c r="Q54" s="170">
        <f t="shared" si="56"/>
        <v>1.1474588797122768E-6</v>
      </c>
      <c r="R54" s="87">
        <f t="shared" si="57"/>
        <v>4.1679764124193357E-7</v>
      </c>
      <c r="S54" s="87">
        <f t="shared" si="58"/>
        <v>1904122690.0538228</v>
      </c>
      <c r="T54" s="87">
        <f t="shared" si="59"/>
        <v>852180400.19024277</v>
      </c>
      <c r="U54" s="87">
        <f t="shared" si="60"/>
        <v>0.81010185482775587</v>
      </c>
      <c r="V54" s="87">
        <f t="shared" si="61"/>
        <v>-1.8101018548277561</v>
      </c>
      <c r="W54" s="87">
        <f t="shared" si="62"/>
        <v>5.1847521456267997E-5</v>
      </c>
      <c r="X54" s="87">
        <f t="shared" si="63"/>
        <v>1051942289.8635798</v>
      </c>
      <c r="Y54" s="86">
        <f>FieldFox!AG54</f>
        <v>0.1</v>
      </c>
      <c r="Z54" s="86">
        <f>FieldFox!AF54</f>
        <v>0.1</v>
      </c>
      <c r="AA54" s="86">
        <f>FieldFox!AH54</f>
        <v>0.1</v>
      </c>
      <c r="AB54" s="87">
        <f t="shared" si="64"/>
        <v>1.3389238540091567E-3</v>
      </c>
      <c r="AC54" s="87">
        <f t="shared" si="65"/>
        <v>1.3389238540091567E-3</v>
      </c>
      <c r="AD54" s="87">
        <f t="shared" si="66"/>
        <v>1.3389238540091567E-3</v>
      </c>
      <c r="AE54" s="87">
        <f>DUT!AF55</f>
        <v>0.2</v>
      </c>
      <c r="AF54" s="4">
        <f t="shared" si="67"/>
        <v>0.40853898265363492</v>
      </c>
      <c r="AG54" s="4">
        <f>'Meas. Noise Std'!AC55</f>
        <v>0.1</v>
      </c>
      <c r="AH54" s="4">
        <f>'Meas. Noise Std'!AD55</f>
        <v>1</v>
      </c>
      <c r="AI54" s="4">
        <f>DUT!AH55</f>
        <v>0</v>
      </c>
      <c r="AJ54" s="166">
        <f t="shared" si="68"/>
        <v>1.6341559306145403E-2</v>
      </c>
      <c r="AK54" s="166">
        <f t="shared" si="69"/>
        <v>0</v>
      </c>
      <c r="AL54" s="163">
        <f t="shared" si="43"/>
        <v>1.6341559306145403E-2</v>
      </c>
      <c r="AM54" s="4">
        <f t="shared" si="70"/>
        <v>0</v>
      </c>
      <c r="AN54" s="4">
        <f>DUT!AG55</f>
        <v>0.31622776601683794</v>
      </c>
      <c r="AO54" s="4">
        <f>IF(AND(UsePreamp,UseUserCal),Preamp!AF55,0)</f>
        <v>0.3981071705534972</v>
      </c>
      <c r="AP54" s="4">
        <f t="shared" si="71"/>
        <v>0.40853898265363492</v>
      </c>
      <c r="AQ54" s="88">
        <f t="shared" si="72"/>
        <v>1.8057483406691772</v>
      </c>
      <c r="AR54" s="88">
        <f t="shared" si="73"/>
        <v>0</v>
      </c>
      <c r="AS54" s="88">
        <f t="shared" si="45"/>
        <v>1.8057483406691772</v>
      </c>
      <c r="AT54" s="88">
        <f t="shared" si="74"/>
        <v>1.7941793173688725</v>
      </c>
      <c r="AU54" s="88">
        <f t="shared" si="75"/>
        <v>15.979462500916876</v>
      </c>
      <c r="AV54" s="88">
        <f t="shared" si="46"/>
        <v>16.079872550523614</v>
      </c>
      <c r="AW54" s="88">
        <f>X54*Calibration!AT54*UseUserCal</f>
        <v>0.22843120226049846</v>
      </c>
      <c r="AX54" s="88">
        <f t="shared" si="76"/>
        <v>3.1731603995516638E-3</v>
      </c>
      <c r="AY54" s="167">
        <f t="shared" si="47"/>
        <v>0.22845324053971752</v>
      </c>
      <c r="AZ54" s="88">
        <f>U54*B54*(10^('Meas. Noise Std'!AB55/(ENRconf*10))-1)</f>
        <v>11.322876333933941</v>
      </c>
      <c r="BA54" s="88">
        <f t="shared" si="77"/>
        <v>0</v>
      </c>
      <c r="BB54" s="88">
        <f t="shared" si="78"/>
        <v>0</v>
      </c>
      <c r="BC54" s="88">
        <f t="shared" si="48"/>
        <v>0</v>
      </c>
      <c r="BD54" s="88">
        <f t="shared" si="79"/>
        <v>19.750512592527485</v>
      </c>
      <c r="BE54" s="4">
        <f t="shared" si="80"/>
        <v>39.501025185054971</v>
      </c>
      <c r="BF54" s="4">
        <f t="shared" si="81"/>
        <v>0.22933866861369948</v>
      </c>
      <c r="BG54" s="88">
        <f t="shared" si="82"/>
        <v>477.94809032283331</v>
      </c>
      <c r="BH54" s="88">
        <f t="shared" si="83"/>
        <v>398.94603995272337</v>
      </c>
      <c r="BI54" s="86">
        <f t="shared" si="84"/>
        <v>5.0910967626438373</v>
      </c>
      <c r="BJ54" s="86">
        <f>10*LOG10(($O54+NseMeas!T_0+BI54)/($O54+NseMeas!T_0))</f>
        <v>3.024714788390781E-2</v>
      </c>
      <c r="BK54" s="86">
        <f t="shared" si="85"/>
        <v>31.958925001833752</v>
      </c>
      <c r="BL54" s="86">
        <f>10*LOG10(($O54+NseMeas!T_0+BK54)/($O54+NseMeas!T_0))</f>
        <v>0.18647531486365065</v>
      </c>
      <c r="BM54" s="86">
        <f t="shared" si="86"/>
        <v>22.645752667867882</v>
      </c>
      <c r="BN54" s="86">
        <f>10*LOG10(($O54+NseMeas!T_0+BM54)/($O54+NseMeas!T_0))</f>
        <v>0.13295611235706448</v>
      </c>
      <c r="BO54" s="86">
        <f t="shared" si="87"/>
        <v>0.45686240452099691</v>
      </c>
      <c r="BP54" s="86">
        <f>10*LOG10(($O54+NseMeas!T_0+BO54)/($O54+NseMeas!T_0))</f>
        <v>2.7229243849797463E-3</v>
      </c>
      <c r="BQ54" s="86">
        <f t="shared" si="88"/>
        <v>0</v>
      </c>
      <c r="BR54" s="86">
        <f>10*LOG10(($O54+NseMeas!T_0+BQ54)/($O54+NseMeas!T_0))</f>
        <v>0</v>
      </c>
      <c r="BT54" s="86">
        <f t="shared" si="89"/>
        <v>0</v>
      </c>
      <c r="BU54" s="86">
        <f>10*LOG10(($O54+NseMeas!T_0+BT54)/($O54+NseMeas!T_0))</f>
        <v>0</v>
      </c>
      <c r="BV54" s="86">
        <f t="shared" si="90"/>
        <v>31.958925001833752</v>
      </c>
      <c r="BW54" s="86">
        <f>10*LOG10(($O54+NseMeas!T_0+BV54)/($O54+NseMeas!T_0))</f>
        <v>0.18647531486365065</v>
      </c>
      <c r="BX54" s="175">
        <f>UseUserCal*X54*Calibration!AM54*nSD</f>
        <v>0</v>
      </c>
      <c r="BY54" s="86">
        <f>10*LOG10(($O54+NseMeas!T_0+BX54)/($O54+NseMeas!T_0))</f>
        <v>0</v>
      </c>
      <c r="BZ54" s="168">
        <f>UseUserCal*X54*Calibration!AP54*nSD</f>
        <v>0.45096991767149264</v>
      </c>
      <c r="CA54" s="86">
        <f>10*LOG10(($O54+NseMeas!T_0+BZ54)/($O54+NseMeas!T_0))</f>
        <v>2.6878157133072068E-3</v>
      </c>
      <c r="CB54" s="4">
        <f t="shared" si="91"/>
        <v>31.962106644266722</v>
      </c>
      <c r="CC54" s="86">
        <f>10*LOG10(($O54+NseMeas!T_0+CB54)/($O54+NseMeas!T_0))</f>
        <v>0.18649348629942497</v>
      </c>
    </row>
    <row r="55" spans="1:81">
      <c r="A55" s="4">
        <f t="shared" si="92"/>
        <v>26.499999999999986</v>
      </c>
      <c r="B55" s="164">
        <f>T_0*(1+10^('Meas. Noise Std'!AA56/10))</f>
        <v>1207.0605214488303</v>
      </c>
      <c r="C55" s="164">
        <f t="shared" si="49"/>
        <v>298</v>
      </c>
      <c r="D55" s="86">
        <f t="shared" si="50"/>
        <v>298</v>
      </c>
      <c r="E55" s="164">
        <f>IF(UsePreamp,T_0*(10^(Preamp!AE56/10)-1),0)</f>
        <v>627.06052144883006</v>
      </c>
      <c r="F55" s="164">
        <f>T_0*(10^((FieldFox!B55-kT0dB)/10)-1)</f>
        <v>45411.676407373438</v>
      </c>
      <c r="G55" s="86">
        <f>IF(UsePreamp,10^(Preamp!AD56/10),1)</f>
        <v>199.06733389871874</v>
      </c>
      <c r="H55" s="86">
        <f>T_0*(10^(DUT!AE56/10)-1)</f>
        <v>438.4470651377784</v>
      </c>
      <c r="I55" s="86">
        <f>10^(DUT!AD56/10)</f>
        <v>100</v>
      </c>
      <c r="J55" s="87">
        <f t="shared" si="51"/>
        <v>1.6228829235073871E-6</v>
      </c>
      <c r="K55" s="87">
        <f t="shared" si="52"/>
        <v>7.3095680255739826E-7</v>
      </c>
      <c r="L55" s="87">
        <f t="shared" si="53"/>
        <v>2.2529120191543056E-9</v>
      </c>
      <c r="M55" s="87">
        <f>IF(UseUserCal,Calibration!M55,0)</f>
        <v>6.1524138965506071E-9</v>
      </c>
      <c r="N55" s="87">
        <f>IF(UseUserCal,Calibration!L55,1)</f>
        <v>199.06733389871874</v>
      </c>
      <c r="O55" s="165">
        <f t="shared" si="54"/>
        <v>438.4470651377784</v>
      </c>
      <c r="P55" s="86">
        <f t="shared" si="55"/>
        <v>100</v>
      </c>
      <c r="Q55" s="170">
        <f t="shared" si="56"/>
        <v>1.1843092767155512E-6</v>
      </c>
      <c r="R55" s="87">
        <f t="shared" si="57"/>
        <v>4.3018300852729104E-7</v>
      </c>
      <c r="S55" s="87">
        <f t="shared" si="58"/>
        <v>1844875464.6010702</v>
      </c>
      <c r="T55" s="87">
        <f t="shared" si="59"/>
        <v>825664904.33561718</v>
      </c>
      <c r="U55" s="87">
        <f t="shared" si="60"/>
        <v>0.81010238367288212</v>
      </c>
      <c r="V55" s="87">
        <f t="shared" si="61"/>
        <v>-1.8101023836728822</v>
      </c>
      <c r="W55" s="87">
        <f t="shared" si="62"/>
        <v>5.0234258952238694E-5</v>
      </c>
      <c r="X55" s="87">
        <f t="shared" si="63"/>
        <v>1019210560.265453</v>
      </c>
      <c r="Y55" s="86">
        <f>FieldFox!AG55</f>
        <v>0.1</v>
      </c>
      <c r="Z55" s="86">
        <f>FieldFox!AF55</f>
        <v>0.1</v>
      </c>
      <c r="AA55" s="86">
        <f>FieldFox!AH55</f>
        <v>0.1</v>
      </c>
      <c r="AB55" s="87">
        <f t="shared" si="64"/>
        <v>1.3389238540091567E-3</v>
      </c>
      <c r="AC55" s="87">
        <f t="shared" si="65"/>
        <v>1.3389238540091567E-3</v>
      </c>
      <c r="AD55" s="87">
        <f t="shared" si="66"/>
        <v>1.3389238540091567E-3</v>
      </c>
      <c r="AE55" s="87">
        <f>DUT!AF56</f>
        <v>0.2</v>
      </c>
      <c r="AF55" s="4">
        <f t="shared" si="67"/>
        <v>0.40853898265363492</v>
      </c>
      <c r="AG55" s="4">
        <f>'Meas. Noise Std'!AC56</f>
        <v>0.1</v>
      </c>
      <c r="AH55" s="4">
        <f>'Meas. Noise Std'!AD56</f>
        <v>1</v>
      </c>
      <c r="AI55" s="4">
        <f>DUT!AH56</f>
        <v>0</v>
      </c>
      <c r="AJ55" s="166">
        <f t="shared" si="68"/>
        <v>1.6341559306145403E-2</v>
      </c>
      <c r="AK55" s="166">
        <f t="shared" si="69"/>
        <v>0</v>
      </c>
      <c r="AL55" s="163">
        <f t="shared" si="43"/>
        <v>1.6341559306145403E-2</v>
      </c>
      <c r="AM55" s="4">
        <f t="shared" si="70"/>
        <v>0</v>
      </c>
      <c r="AN55" s="4">
        <f>DUT!AG56</f>
        <v>0.31622776601683794</v>
      </c>
      <c r="AO55" s="4">
        <f>IF(AND(UsePreamp,UseUserCal),Preamp!AF56,0)</f>
        <v>0.3981071705534972</v>
      </c>
      <c r="AP55" s="4">
        <f t="shared" si="71"/>
        <v>0.40853898265363492</v>
      </c>
      <c r="AQ55" s="88">
        <f t="shared" si="72"/>
        <v>1.8055713137791745</v>
      </c>
      <c r="AR55" s="88">
        <f t="shared" si="73"/>
        <v>0</v>
      </c>
      <c r="AS55" s="88">
        <f t="shared" si="45"/>
        <v>1.8055713137791745</v>
      </c>
      <c r="AT55" s="88">
        <f t="shared" si="74"/>
        <v>1.794101025009434</v>
      </c>
      <c r="AU55" s="88">
        <f t="shared" si="75"/>
        <v>15.979472932519785</v>
      </c>
      <c r="AV55" s="88">
        <f t="shared" si="46"/>
        <v>16.079874181381903</v>
      </c>
      <c r="AW55" s="88">
        <f>X55*Calibration!AT55*UseUserCal</f>
        <v>0.22843099786879498</v>
      </c>
      <c r="AX55" s="88">
        <f t="shared" si="76"/>
        <v>3.0744258689881306E-3</v>
      </c>
      <c r="AY55" s="167">
        <f t="shared" si="47"/>
        <v>0.22845168609961564</v>
      </c>
      <c r="AZ55" s="88">
        <f>U55*B55*(10^('Meas. Noise Std'!AB56/(ENRconf*10))-1)</f>
        <v>11.322883725656263</v>
      </c>
      <c r="BA55" s="88">
        <f t="shared" si="77"/>
        <v>0</v>
      </c>
      <c r="BB55" s="88">
        <f t="shared" si="78"/>
        <v>0</v>
      </c>
      <c r="BC55" s="88">
        <f t="shared" si="48"/>
        <v>0</v>
      </c>
      <c r="BD55" s="88">
        <f t="shared" si="79"/>
        <v>19.750501955540972</v>
      </c>
      <c r="BE55" s="4">
        <f t="shared" si="80"/>
        <v>39.501003911081945</v>
      </c>
      <c r="BF55" s="4">
        <f t="shared" si="81"/>
        <v>0.22933854830388511</v>
      </c>
      <c r="BG55" s="88">
        <f t="shared" si="82"/>
        <v>477.94806904886036</v>
      </c>
      <c r="BH55" s="88">
        <f t="shared" si="83"/>
        <v>398.94606122669643</v>
      </c>
      <c r="BI55" s="86">
        <f t="shared" si="84"/>
        <v>5.090734999654404</v>
      </c>
      <c r="BJ55" s="86">
        <f>10*LOG10(($O55+NseMeas!T_0+BI55)/($O55+NseMeas!T_0))</f>
        <v>3.0245006049754261E-2</v>
      </c>
      <c r="BK55" s="86">
        <f t="shared" si="85"/>
        <v>31.958945865039571</v>
      </c>
      <c r="BL55" s="86">
        <f>10*LOG10(($O55+NseMeas!T_0+BK55)/($O55+NseMeas!T_0))</f>
        <v>0.18647543402072092</v>
      </c>
      <c r="BM55" s="86">
        <f t="shared" si="86"/>
        <v>22.645767451312526</v>
      </c>
      <c r="BN55" s="86">
        <f>10*LOG10(($O55+NseMeas!T_0+BM55)/($O55+NseMeas!T_0))</f>
        <v>0.13295619783742318</v>
      </c>
      <c r="BO55" s="86">
        <f t="shared" si="87"/>
        <v>0.45686199573758995</v>
      </c>
      <c r="BP55" s="86">
        <f>10*LOG10(($O55+NseMeas!T_0+BO55)/($O55+NseMeas!T_0))</f>
        <v>2.7229219493721305E-3</v>
      </c>
      <c r="BQ55" s="86">
        <f t="shared" si="88"/>
        <v>0</v>
      </c>
      <c r="BR55" s="86">
        <f>10*LOG10(($O55+NseMeas!T_0+BQ55)/($O55+NseMeas!T_0))</f>
        <v>0</v>
      </c>
      <c r="BT55" s="86">
        <f t="shared" si="89"/>
        <v>0</v>
      </c>
      <c r="BU55" s="86">
        <f>10*LOG10(($O55+NseMeas!T_0+BT55)/($O55+NseMeas!T_0))</f>
        <v>0</v>
      </c>
      <c r="BV55" s="86">
        <f t="shared" si="90"/>
        <v>31.958945865039571</v>
      </c>
      <c r="BW55" s="86">
        <f>10*LOG10(($O55+NseMeas!T_0+BV55)/($O55+NseMeas!T_0))</f>
        <v>0.18647543402072092</v>
      </c>
      <c r="BX55" s="175">
        <f>UseUserCal*X55*Calibration!AM55*nSD</f>
        <v>0</v>
      </c>
      <c r="BY55" s="86">
        <f>10*LOG10(($O55+NseMeas!T_0+BX55)/($O55+NseMeas!T_0))</f>
        <v>0</v>
      </c>
      <c r="BZ55" s="168">
        <f>UseUserCal*X55*Calibration!AP55*nSD</f>
        <v>0.4509699176714928</v>
      </c>
      <c r="CA55" s="86">
        <f>10*LOG10(($O55+NseMeas!T_0+BZ55)/($O55+NseMeas!T_0))</f>
        <v>2.6878157133072068E-3</v>
      </c>
      <c r="CB55" s="4">
        <f t="shared" si="91"/>
        <v>31.962127505395731</v>
      </c>
      <c r="CC55" s="86">
        <f>10*LOG10(($O55+NseMeas!T_0+CB55)/($O55+NseMeas!T_0))</f>
        <v>0.18649360544413612</v>
      </c>
    </row>
    <row r="56" spans="1:81">
      <c r="A56" s="4">
        <f t="shared" si="92"/>
        <v>26.500001000000001</v>
      </c>
      <c r="B56" s="164">
        <f>T_0*(1+10^('Meas. Noise Std'!AA57/10))</f>
        <v>1207.0605214488303</v>
      </c>
      <c r="C56" s="164">
        <f t="shared" si="49"/>
        <v>298</v>
      </c>
      <c r="D56" s="86">
        <f t="shared" si="50"/>
        <v>298</v>
      </c>
      <c r="E56" s="164">
        <f>IF(UsePreamp,T_0*(10^(Preamp!AE57/10)-1),0)</f>
        <v>627.06052144883006</v>
      </c>
      <c r="F56" s="164">
        <f>T_0*(10^((FieldFox!B56-kT0dB)/10)-1)</f>
        <v>45411.676407373438</v>
      </c>
      <c r="G56" s="86">
        <f>IF(UsePreamp,10^(Preamp!AD57/10),1)</f>
        <v>199.06734581632566</v>
      </c>
      <c r="H56" s="86">
        <f>T_0*(10^(DUT!AE57/10)-1)</f>
        <v>438.4470651377784</v>
      </c>
      <c r="I56" s="86">
        <f>10^(DUT!AD57/10)</f>
        <v>100</v>
      </c>
      <c r="J56" s="87">
        <f t="shared" si="51"/>
        <v>1.622883020530872E-6</v>
      </c>
      <c r="K56" s="87">
        <f t="shared" si="52"/>
        <v>7.3095684618375027E-7</v>
      </c>
      <c r="L56" s="87">
        <f t="shared" si="53"/>
        <v>2.2529120191543056E-9</v>
      </c>
      <c r="M56" s="87">
        <f>IF(UseUserCal,Calibration!M56,0)</f>
        <v>6.1524142648784919E-9</v>
      </c>
      <c r="N56" s="87">
        <f>IF(UseUserCal,Calibration!L56,1)</f>
        <v>199.06734581632574</v>
      </c>
      <c r="O56" s="165">
        <f t="shared" si="54"/>
        <v>438.44706513777868</v>
      </c>
      <c r="P56" s="86">
        <f t="shared" si="55"/>
        <v>99.999999999999943</v>
      </c>
      <c r="Q56" s="170">
        <f t="shared" si="56"/>
        <v>1.1843093476168496E-6</v>
      </c>
      <c r="R56" s="87">
        <f t="shared" si="57"/>
        <v>4.3018303428114972E-7</v>
      </c>
      <c r="S56" s="87">
        <f t="shared" si="58"/>
        <v>1844875354.154526</v>
      </c>
      <c r="T56" s="87">
        <f t="shared" si="59"/>
        <v>825664854.90636683</v>
      </c>
      <c r="U56" s="87">
        <f t="shared" si="60"/>
        <v>0.81010238367386822</v>
      </c>
      <c r="V56" s="87">
        <f t="shared" si="61"/>
        <v>-1.8101023836738681</v>
      </c>
      <c r="W56" s="87">
        <f t="shared" si="62"/>
        <v>5.023425594485369E-5</v>
      </c>
      <c r="X56" s="87">
        <f t="shared" si="63"/>
        <v>1019210499.2481589</v>
      </c>
      <c r="Y56" s="86">
        <f>FieldFox!AG56</f>
        <v>0.1</v>
      </c>
      <c r="Z56" s="86">
        <f>FieldFox!AF56</f>
        <v>0.1</v>
      </c>
      <c r="AA56" s="86">
        <f>FieldFox!AH56</f>
        <v>0.1</v>
      </c>
      <c r="AB56" s="87">
        <f t="shared" si="64"/>
        <v>1.3389238540091567E-3</v>
      </c>
      <c r="AC56" s="87">
        <f t="shared" si="65"/>
        <v>1.3389238540091567E-3</v>
      </c>
      <c r="AD56" s="87">
        <f t="shared" si="66"/>
        <v>1.3389238540091567E-3</v>
      </c>
      <c r="AE56" s="87">
        <f>DUT!AF57</f>
        <v>0.2</v>
      </c>
      <c r="AF56" s="4">
        <f t="shared" si="67"/>
        <v>0.40853898265363492</v>
      </c>
      <c r="AG56" s="4">
        <f>'Meas. Noise Std'!AC57</f>
        <v>0.1</v>
      </c>
      <c r="AH56" s="4">
        <f>'Meas. Noise Std'!AD57</f>
        <v>1</v>
      </c>
      <c r="AI56" s="4">
        <f>DUT!AH57</f>
        <v>0</v>
      </c>
      <c r="AJ56" s="166">
        <f t="shared" si="68"/>
        <v>1.6341559306145403E-2</v>
      </c>
      <c r="AK56" s="166">
        <f t="shared" si="69"/>
        <v>0</v>
      </c>
      <c r="AL56" s="163">
        <f t="shared" si="43"/>
        <v>1.6341559306145403E-2</v>
      </c>
      <c r="AM56" s="4">
        <f t="shared" si="70"/>
        <v>0</v>
      </c>
      <c r="AN56" s="4">
        <f>DUT!AG57</f>
        <v>0.31622776601683794</v>
      </c>
      <c r="AO56" s="4">
        <f>IF(AND(UsePreamp,UseUserCal),Preamp!AF57,0)</f>
        <v>0.3981071705534972</v>
      </c>
      <c r="AP56" s="4">
        <f t="shared" si="71"/>
        <v>0.40853898265363492</v>
      </c>
      <c r="AQ56" s="88">
        <f t="shared" si="72"/>
        <v>1.8055713134491684</v>
      </c>
      <c r="AR56" s="88">
        <f t="shared" si="73"/>
        <v>0</v>
      </c>
      <c r="AS56" s="88">
        <f t="shared" si="45"/>
        <v>1.8055713134491684</v>
      </c>
      <c r="AT56" s="88">
        <f t="shared" si="74"/>
        <v>1.794101024863485</v>
      </c>
      <c r="AU56" s="88">
        <f t="shared" si="75"/>
        <v>15.979472932539238</v>
      </c>
      <c r="AV56" s="88">
        <f t="shared" si="46"/>
        <v>16.079874181384952</v>
      </c>
      <c r="AW56" s="88">
        <f>X56*Calibration!AT56*UseUserCal</f>
        <v>0.22843099786841564</v>
      </c>
      <c r="AX56" s="88">
        <f t="shared" si="76"/>
        <v>3.0744256849308269E-3</v>
      </c>
      <c r="AY56" s="167">
        <f t="shared" si="47"/>
        <v>0.22845168609675937</v>
      </c>
      <c r="AZ56" s="88">
        <f>U56*B56*(10^('Meas. Noise Std'!AB57/(ENRconf*10))-1)</f>
        <v>11.322883725670046</v>
      </c>
      <c r="BA56" s="88">
        <f t="shared" si="77"/>
        <v>0</v>
      </c>
      <c r="BB56" s="88">
        <f t="shared" si="78"/>
        <v>0</v>
      </c>
      <c r="BC56" s="88">
        <f t="shared" si="48"/>
        <v>0</v>
      </c>
      <c r="BD56" s="88">
        <f t="shared" si="79"/>
        <v>19.750501955521155</v>
      </c>
      <c r="BE56" s="4">
        <f t="shared" si="80"/>
        <v>39.501003911042311</v>
      </c>
      <c r="BF56" s="4">
        <f t="shared" si="81"/>
        <v>0.22933854830366102</v>
      </c>
      <c r="BG56" s="88">
        <f t="shared" si="82"/>
        <v>477.94806904882097</v>
      </c>
      <c r="BH56" s="88">
        <f t="shared" si="83"/>
        <v>398.94606122673639</v>
      </c>
      <c r="BI56" s="86">
        <f t="shared" si="84"/>
        <v>5.0907349989800315</v>
      </c>
      <c r="BJ56" s="86">
        <f>10*LOG10(($O56+NseMeas!T_0+BI56)/($O56+NseMeas!T_0))</f>
        <v>3.0245006045761878E-2</v>
      </c>
      <c r="BK56" s="86">
        <f t="shared" si="85"/>
        <v>31.958945865078476</v>
      </c>
      <c r="BL56" s="86">
        <f>10*LOG10(($O56+NseMeas!T_0+BK56)/($O56+NseMeas!T_0))</f>
        <v>0.18647543402094358</v>
      </c>
      <c r="BM56" s="86">
        <f t="shared" si="86"/>
        <v>22.645767451340092</v>
      </c>
      <c r="BN56" s="86">
        <f>10*LOG10(($O56+NseMeas!T_0+BM56)/($O56+NseMeas!T_0))</f>
        <v>0.13295619783758311</v>
      </c>
      <c r="BO56" s="86">
        <f t="shared" si="87"/>
        <v>0.45686199573683128</v>
      </c>
      <c r="BP56" s="86">
        <f>10*LOG10(($O56+NseMeas!T_0+BO56)/($O56+NseMeas!T_0))</f>
        <v>2.7229219493682755E-3</v>
      </c>
      <c r="BQ56" s="86">
        <f t="shared" si="88"/>
        <v>0</v>
      </c>
      <c r="BR56" s="86">
        <f>10*LOG10(($O56+NseMeas!T_0+BQ56)/($O56+NseMeas!T_0))</f>
        <v>0</v>
      </c>
      <c r="BT56" s="86">
        <f t="shared" si="89"/>
        <v>0</v>
      </c>
      <c r="BU56" s="86">
        <f>10*LOG10(($O56+NseMeas!T_0+BT56)/($O56+NseMeas!T_0))</f>
        <v>0</v>
      </c>
      <c r="BV56" s="86">
        <f t="shared" si="90"/>
        <v>31.958945865078476</v>
      </c>
      <c r="BW56" s="86">
        <f>10*LOG10(($O56+NseMeas!T_0+BV56)/($O56+NseMeas!T_0))</f>
        <v>0.18647543402094358</v>
      </c>
      <c r="BX56" s="175">
        <f>UseUserCal*X56*Calibration!AM56*nSD</f>
        <v>0</v>
      </c>
      <c r="BY56" s="86">
        <f>10*LOG10(($O56+NseMeas!T_0+BX56)/($O56+NseMeas!T_0))</f>
        <v>0</v>
      </c>
      <c r="BZ56" s="168">
        <f>UseUserCal*X56*Calibration!AP56*nSD</f>
        <v>0.45096991767149286</v>
      </c>
      <c r="CA56" s="86">
        <f>10*LOG10(($O56+NseMeas!T_0+BZ56)/($O56+NseMeas!T_0))</f>
        <v>2.6878157133072068E-3</v>
      </c>
      <c r="CB56" s="4">
        <f t="shared" si="91"/>
        <v>31.962127505434633</v>
      </c>
      <c r="CC56" s="86">
        <f>10*LOG10(($O56+NseMeas!T_0+CB56)/($O56+NseMeas!T_0))</f>
        <v>0.18649360544435875</v>
      </c>
    </row>
    <row r="57" spans="1:81">
      <c r="A57" s="4">
        <f t="shared" si="92"/>
        <v>26.500001000000001</v>
      </c>
      <c r="B57" s="164">
        <f>T_0*(1+10^('Meas. Noise Std'!AA58/10))</f>
        <v>1207.0605214488303</v>
      </c>
      <c r="C57" s="164">
        <f t="shared" si="49"/>
        <v>298</v>
      </c>
      <c r="D57" s="86">
        <f t="shared" si="50"/>
        <v>298</v>
      </c>
      <c r="E57" s="164">
        <f>IF(UsePreamp,T_0*(10^(Preamp!AE58/10)-1),0)</f>
        <v>627.06052144883006</v>
      </c>
      <c r="F57" s="164">
        <f>T_0*(10^((FieldFox!B57-kT0dB)/10)-1)</f>
        <v>45411.676407373438</v>
      </c>
      <c r="G57" s="86">
        <f>IF(UsePreamp,10^(Preamp!AD58/10),1)</f>
        <v>199.06734581632566</v>
      </c>
      <c r="H57" s="86">
        <f>T_0*(10^(DUT!AE58/10)-1)</f>
        <v>438.4470651377784</v>
      </c>
      <c r="I57" s="86">
        <f>10^(DUT!AD58/10)</f>
        <v>100</v>
      </c>
      <c r="J57" s="87">
        <f t="shared" si="51"/>
        <v>1.622883020530872E-6</v>
      </c>
      <c r="K57" s="87">
        <f t="shared" si="52"/>
        <v>7.3095684618375027E-7</v>
      </c>
      <c r="L57" s="87">
        <f t="shared" si="53"/>
        <v>2.2529120191543056E-9</v>
      </c>
      <c r="M57" s="87">
        <f>IF(UseUserCal,Calibration!M57,0)</f>
        <v>6.1524142648784919E-9</v>
      </c>
      <c r="N57" s="87">
        <f>IF(UseUserCal,Calibration!L57,1)</f>
        <v>199.06734581632574</v>
      </c>
      <c r="O57" s="165">
        <f t="shared" si="54"/>
        <v>438.44706513777868</v>
      </c>
      <c r="P57" s="86">
        <f t="shared" si="55"/>
        <v>99.999999999999943</v>
      </c>
      <c r="Q57" s="170">
        <f t="shared" si="56"/>
        <v>1.1843093476168496E-6</v>
      </c>
      <c r="R57" s="87">
        <f t="shared" si="57"/>
        <v>4.3018303428114972E-7</v>
      </c>
      <c r="S57" s="87">
        <f t="shared" si="58"/>
        <v>1844875354.154526</v>
      </c>
      <c r="T57" s="87">
        <f t="shared" si="59"/>
        <v>825664854.90636683</v>
      </c>
      <c r="U57" s="87">
        <f t="shared" si="60"/>
        <v>0.81010238367386822</v>
      </c>
      <c r="V57" s="87">
        <f t="shared" si="61"/>
        <v>-1.8101023836738681</v>
      </c>
      <c r="W57" s="87">
        <f t="shared" si="62"/>
        <v>5.023425594485369E-5</v>
      </c>
      <c r="X57" s="87">
        <f t="shared" si="63"/>
        <v>1019210499.2481589</v>
      </c>
      <c r="Y57" s="86">
        <f>FieldFox!AG57</f>
        <v>0.1</v>
      </c>
      <c r="Z57" s="86">
        <f>FieldFox!AF57</f>
        <v>0.1</v>
      </c>
      <c r="AA57" s="86">
        <f>FieldFox!AH57</f>
        <v>0.1</v>
      </c>
      <c r="AB57" s="87">
        <f t="shared" si="64"/>
        <v>1.3389238540091567E-3</v>
      </c>
      <c r="AC57" s="87">
        <f t="shared" si="65"/>
        <v>1.3389238540091567E-3</v>
      </c>
      <c r="AD57" s="87">
        <f t="shared" si="66"/>
        <v>1.3389238540091567E-3</v>
      </c>
      <c r="AE57" s="87">
        <f>DUT!AF58</f>
        <v>0.2</v>
      </c>
      <c r="AF57" s="4">
        <f t="shared" si="67"/>
        <v>0.40853898265363492</v>
      </c>
      <c r="AG57" s="4">
        <f>'Meas. Noise Std'!AC58</f>
        <v>0.1</v>
      </c>
      <c r="AH57" s="4">
        <f>'Meas. Noise Std'!AD58</f>
        <v>1</v>
      </c>
      <c r="AI57" s="4">
        <f>DUT!AH58</f>
        <v>0</v>
      </c>
      <c r="AJ57" s="166">
        <f t="shared" si="68"/>
        <v>1.6341559306145403E-2</v>
      </c>
      <c r="AK57" s="166">
        <f t="shared" si="69"/>
        <v>0</v>
      </c>
      <c r="AL57" s="163">
        <f t="shared" si="43"/>
        <v>1.6341559306145403E-2</v>
      </c>
      <c r="AM57" s="4">
        <f t="shared" si="70"/>
        <v>0</v>
      </c>
      <c r="AN57" s="4">
        <f>DUT!AG58</f>
        <v>0.31622776601683794</v>
      </c>
      <c r="AO57" s="4">
        <f>IF(AND(UsePreamp,UseUserCal),Preamp!AF58,0)</f>
        <v>0.3981071705534972</v>
      </c>
      <c r="AP57" s="4">
        <f t="shared" si="71"/>
        <v>0.40853898265363492</v>
      </c>
      <c r="AQ57" s="88">
        <f t="shared" si="72"/>
        <v>1.8055713134491684</v>
      </c>
      <c r="AR57" s="88">
        <f t="shared" si="73"/>
        <v>0</v>
      </c>
      <c r="AS57" s="88">
        <f t="shared" si="45"/>
        <v>1.8055713134491684</v>
      </c>
      <c r="AT57" s="88">
        <f t="shared" si="74"/>
        <v>1.794101024863485</v>
      </c>
      <c r="AU57" s="88">
        <f t="shared" si="75"/>
        <v>15.979472932539238</v>
      </c>
      <c r="AV57" s="88">
        <f t="shared" si="46"/>
        <v>16.079874181384952</v>
      </c>
      <c r="AW57" s="88">
        <f>X57*Calibration!AT57*UseUserCal</f>
        <v>0.22843099786841564</v>
      </c>
      <c r="AX57" s="88">
        <f t="shared" si="76"/>
        <v>3.0744256849308269E-3</v>
      </c>
      <c r="AY57" s="167">
        <f t="shared" si="47"/>
        <v>0.22845168609675937</v>
      </c>
      <c r="AZ57" s="88">
        <f>U57*B57*(10^('Meas. Noise Std'!AB58/(ENRconf*10))-1)</f>
        <v>11.322883725670046</v>
      </c>
      <c r="BA57" s="88">
        <f t="shared" si="77"/>
        <v>0</v>
      </c>
      <c r="BB57" s="88">
        <f t="shared" si="78"/>
        <v>0</v>
      </c>
      <c r="BC57" s="88">
        <f t="shared" si="48"/>
        <v>0</v>
      </c>
      <c r="BD57" s="88">
        <f t="shared" si="79"/>
        <v>19.750501955521155</v>
      </c>
      <c r="BE57" s="4">
        <f t="shared" si="80"/>
        <v>39.501003911042311</v>
      </c>
      <c r="BF57" s="4">
        <f t="shared" si="81"/>
        <v>0.22933854830366102</v>
      </c>
      <c r="BG57" s="88">
        <f t="shared" si="82"/>
        <v>477.94806904882097</v>
      </c>
      <c r="BH57" s="88">
        <f t="shared" si="83"/>
        <v>398.94606122673639</v>
      </c>
      <c r="BI57" s="86">
        <f t="shared" si="84"/>
        <v>5.0907349989800315</v>
      </c>
      <c r="BJ57" s="86">
        <f>10*LOG10(($O57+NseMeas!T_0+BI57)/($O57+NseMeas!T_0))</f>
        <v>3.0245006045761878E-2</v>
      </c>
      <c r="BK57" s="86">
        <f t="shared" si="85"/>
        <v>31.958945865078476</v>
      </c>
      <c r="BL57" s="86">
        <f>10*LOG10(($O57+NseMeas!T_0+BK57)/($O57+NseMeas!T_0))</f>
        <v>0.18647543402094358</v>
      </c>
      <c r="BM57" s="86">
        <f t="shared" si="86"/>
        <v>22.645767451340092</v>
      </c>
      <c r="BN57" s="86">
        <f>10*LOG10(($O57+NseMeas!T_0+BM57)/($O57+NseMeas!T_0))</f>
        <v>0.13295619783758311</v>
      </c>
      <c r="BO57" s="86">
        <f t="shared" si="87"/>
        <v>0.45686199573683128</v>
      </c>
      <c r="BP57" s="86">
        <f>10*LOG10(($O57+NseMeas!T_0+BO57)/($O57+NseMeas!T_0))</f>
        <v>2.7229219493682755E-3</v>
      </c>
      <c r="BQ57" s="86">
        <f t="shared" si="88"/>
        <v>0</v>
      </c>
      <c r="BR57" s="86">
        <f>10*LOG10(($O57+NseMeas!T_0+BQ57)/($O57+NseMeas!T_0))</f>
        <v>0</v>
      </c>
      <c r="BT57" s="86">
        <f t="shared" si="89"/>
        <v>0</v>
      </c>
      <c r="BU57" s="86">
        <f>10*LOG10(($O57+NseMeas!T_0+BT57)/($O57+NseMeas!T_0))</f>
        <v>0</v>
      </c>
      <c r="BV57" s="86">
        <f t="shared" si="90"/>
        <v>31.958945865078476</v>
      </c>
      <c r="BW57" s="86">
        <f>10*LOG10(($O57+NseMeas!T_0+BV57)/($O57+NseMeas!T_0))</f>
        <v>0.18647543402094358</v>
      </c>
      <c r="BX57" s="175">
        <f>UseUserCal*X57*Calibration!AM57*nSD</f>
        <v>0</v>
      </c>
      <c r="BY57" s="86">
        <f>10*LOG10(($O57+NseMeas!T_0+BX57)/($O57+NseMeas!T_0))</f>
        <v>0</v>
      </c>
      <c r="BZ57" s="168">
        <f>UseUserCal*X57*Calibration!AP57*nSD</f>
        <v>0.45096991767149286</v>
      </c>
      <c r="CA57" s="86">
        <f>10*LOG10(($O57+NseMeas!T_0+BZ57)/($O57+NseMeas!T_0))</f>
        <v>2.6878157133072068E-3</v>
      </c>
      <c r="CB57" s="4">
        <f t="shared" si="91"/>
        <v>31.962127505434633</v>
      </c>
      <c r="CC57" s="86">
        <f>10*LOG10(($O57+NseMeas!T_0+CB57)/($O57+NseMeas!T_0))</f>
        <v>0.18649360544435875</v>
      </c>
    </row>
    <row r="58" spans="1:81">
      <c r="A58" s="4">
        <f t="shared" si="92"/>
        <v>26.500001000000001</v>
      </c>
      <c r="B58" s="164">
        <f>T_0*(1+10^('Meas. Noise Std'!AA59/10))</f>
        <v>1207.0605214488303</v>
      </c>
      <c r="C58" s="164">
        <f t="shared" si="49"/>
        <v>298</v>
      </c>
      <c r="D58" s="86">
        <f t="shared" si="50"/>
        <v>298</v>
      </c>
      <c r="E58" s="164">
        <f>IF(UsePreamp,T_0*(10^(Preamp!AE59/10)-1),0)</f>
        <v>627.06052144883006</v>
      </c>
      <c r="F58" s="164">
        <f>T_0*(10^((FieldFox!B58-kT0dB)/10)-1)</f>
        <v>45411.676407373438</v>
      </c>
      <c r="G58" s="86">
        <f>IF(UsePreamp,10^(Preamp!AD59/10),1)</f>
        <v>199.06734581632566</v>
      </c>
      <c r="H58" s="86">
        <f>T_0*(10^(DUT!AE59/10)-1)</f>
        <v>438.4470651377784</v>
      </c>
      <c r="I58" s="86">
        <f>10^(DUT!AD59/10)</f>
        <v>100</v>
      </c>
      <c r="J58" s="87">
        <f t="shared" si="51"/>
        <v>1.622883020530872E-6</v>
      </c>
      <c r="K58" s="87">
        <f t="shared" si="52"/>
        <v>7.3095684618375027E-7</v>
      </c>
      <c r="L58" s="87">
        <f t="shared" si="53"/>
        <v>2.2529120191543056E-9</v>
      </c>
      <c r="M58" s="87">
        <f>IF(UseUserCal,Calibration!M58,0)</f>
        <v>6.1524142648784919E-9</v>
      </c>
      <c r="N58" s="87">
        <f>IF(UseUserCal,Calibration!L58,1)</f>
        <v>199.06734581632574</v>
      </c>
      <c r="O58" s="165">
        <f t="shared" si="54"/>
        <v>438.44706513777868</v>
      </c>
      <c r="P58" s="86">
        <f t="shared" si="55"/>
        <v>99.999999999999943</v>
      </c>
      <c r="Q58" s="170">
        <f t="shared" si="56"/>
        <v>1.1843093476168496E-6</v>
      </c>
      <c r="R58" s="87">
        <f t="shared" si="57"/>
        <v>4.3018303428114972E-7</v>
      </c>
      <c r="S58" s="87">
        <f t="shared" si="58"/>
        <v>1844875354.154526</v>
      </c>
      <c r="T58" s="87">
        <f t="shared" si="59"/>
        <v>825664854.90636683</v>
      </c>
      <c r="U58" s="87">
        <f t="shared" si="60"/>
        <v>0.81010238367386822</v>
      </c>
      <c r="V58" s="87">
        <f t="shared" si="61"/>
        <v>-1.8101023836738681</v>
      </c>
      <c r="W58" s="87">
        <f t="shared" si="62"/>
        <v>5.023425594485369E-5</v>
      </c>
      <c r="X58" s="87">
        <f t="shared" si="63"/>
        <v>1019210499.2481589</v>
      </c>
      <c r="Y58" s="86">
        <f>FieldFox!AG58</f>
        <v>0.1</v>
      </c>
      <c r="Z58" s="86">
        <f>FieldFox!AF58</f>
        <v>0.1</v>
      </c>
      <c r="AA58" s="86">
        <f>FieldFox!AH58</f>
        <v>0.1</v>
      </c>
      <c r="AB58" s="87">
        <f t="shared" si="64"/>
        <v>1.3389238540091567E-3</v>
      </c>
      <c r="AC58" s="87">
        <f t="shared" si="65"/>
        <v>1.3389238540091567E-3</v>
      </c>
      <c r="AD58" s="87">
        <f t="shared" si="66"/>
        <v>1.3389238540091567E-3</v>
      </c>
      <c r="AE58" s="87">
        <f>DUT!AF59</f>
        <v>0.2</v>
      </c>
      <c r="AF58" s="4">
        <f t="shared" si="67"/>
        <v>0.40853898265363492</v>
      </c>
      <c r="AG58" s="4">
        <f>'Meas. Noise Std'!AC59</f>
        <v>0.1</v>
      </c>
      <c r="AH58" s="4">
        <f>'Meas. Noise Std'!AD59</f>
        <v>1</v>
      </c>
      <c r="AI58" s="4">
        <f>DUT!AH59</f>
        <v>0</v>
      </c>
      <c r="AJ58" s="166">
        <f t="shared" si="68"/>
        <v>1.6341559306145403E-2</v>
      </c>
      <c r="AK58" s="166">
        <f t="shared" si="69"/>
        <v>0</v>
      </c>
      <c r="AL58" s="163">
        <f t="shared" si="43"/>
        <v>1.6341559306145403E-2</v>
      </c>
      <c r="AM58" s="4">
        <f t="shared" si="70"/>
        <v>0</v>
      </c>
      <c r="AN58" s="4">
        <f>DUT!AG59</f>
        <v>0.31622776601683794</v>
      </c>
      <c r="AO58" s="4">
        <f>IF(AND(UsePreamp,UseUserCal),Preamp!AF59,0)</f>
        <v>0.3981071705534972</v>
      </c>
      <c r="AP58" s="4">
        <f t="shared" si="71"/>
        <v>0.40853898265363492</v>
      </c>
      <c r="AQ58" s="88">
        <f t="shared" si="72"/>
        <v>1.8055713134491684</v>
      </c>
      <c r="AR58" s="88">
        <f t="shared" si="73"/>
        <v>0</v>
      </c>
      <c r="AS58" s="88">
        <f t="shared" si="45"/>
        <v>1.8055713134491684</v>
      </c>
      <c r="AT58" s="88">
        <f t="shared" si="74"/>
        <v>1.794101024863485</v>
      </c>
      <c r="AU58" s="88">
        <f t="shared" si="75"/>
        <v>15.979472932539238</v>
      </c>
      <c r="AV58" s="88">
        <f t="shared" si="46"/>
        <v>16.079874181384952</v>
      </c>
      <c r="AW58" s="88">
        <f>X58*Calibration!AT58*UseUserCal</f>
        <v>0.22843099786841564</v>
      </c>
      <c r="AX58" s="88">
        <f t="shared" si="76"/>
        <v>3.0744256849308269E-3</v>
      </c>
      <c r="AY58" s="167">
        <f t="shared" si="47"/>
        <v>0.22845168609675937</v>
      </c>
      <c r="AZ58" s="88">
        <f>U58*B58*(10^('Meas. Noise Std'!AB59/(ENRconf*10))-1)</f>
        <v>11.322883725670046</v>
      </c>
      <c r="BA58" s="88">
        <f t="shared" si="77"/>
        <v>0</v>
      </c>
      <c r="BB58" s="88">
        <f t="shared" si="78"/>
        <v>0</v>
      </c>
      <c r="BC58" s="88">
        <f t="shared" si="48"/>
        <v>0</v>
      </c>
      <c r="BD58" s="88">
        <f t="shared" si="79"/>
        <v>19.750501955521155</v>
      </c>
      <c r="BE58" s="4">
        <f t="shared" si="80"/>
        <v>39.501003911042311</v>
      </c>
      <c r="BF58" s="4">
        <f t="shared" si="81"/>
        <v>0.22933854830366102</v>
      </c>
      <c r="BG58" s="88">
        <f t="shared" si="82"/>
        <v>477.94806904882097</v>
      </c>
      <c r="BH58" s="88">
        <f t="shared" si="83"/>
        <v>398.94606122673639</v>
      </c>
      <c r="BI58" s="86">
        <f t="shared" si="84"/>
        <v>5.0907349989800315</v>
      </c>
      <c r="BJ58" s="86">
        <f>10*LOG10(($O58+NseMeas!T_0+BI58)/($O58+NseMeas!T_0))</f>
        <v>3.0245006045761878E-2</v>
      </c>
      <c r="BK58" s="86">
        <f t="shared" si="85"/>
        <v>31.958945865078476</v>
      </c>
      <c r="BL58" s="86">
        <f>10*LOG10(($O58+NseMeas!T_0+BK58)/($O58+NseMeas!T_0))</f>
        <v>0.18647543402094358</v>
      </c>
      <c r="BM58" s="86">
        <f t="shared" si="86"/>
        <v>22.645767451340092</v>
      </c>
      <c r="BN58" s="86">
        <f>10*LOG10(($O58+NseMeas!T_0+BM58)/($O58+NseMeas!T_0))</f>
        <v>0.13295619783758311</v>
      </c>
      <c r="BO58" s="86">
        <f t="shared" si="87"/>
        <v>0.45686199573683128</v>
      </c>
      <c r="BP58" s="86">
        <f>10*LOG10(($O58+NseMeas!T_0+BO58)/($O58+NseMeas!T_0))</f>
        <v>2.7229219493682755E-3</v>
      </c>
      <c r="BQ58" s="86">
        <f t="shared" si="88"/>
        <v>0</v>
      </c>
      <c r="BR58" s="86">
        <f>10*LOG10(($O58+NseMeas!T_0+BQ58)/($O58+NseMeas!T_0))</f>
        <v>0</v>
      </c>
      <c r="BT58" s="86">
        <f t="shared" si="89"/>
        <v>0</v>
      </c>
      <c r="BU58" s="86">
        <f>10*LOG10(($O58+NseMeas!T_0+BT58)/($O58+NseMeas!T_0))</f>
        <v>0</v>
      </c>
      <c r="BV58" s="86">
        <f t="shared" si="90"/>
        <v>31.958945865078476</v>
      </c>
      <c r="BW58" s="86">
        <f>10*LOG10(($O58+NseMeas!T_0+BV58)/($O58+NseMeas!T_0))</f>
        <v>0.18647543402094358</v>
      </c>
      <c r="BX58" s="175">
        <f>UseUserCal*X58*Calibration!AM58*nSD</f>
        <v>0</v>
      </c>
      <c r="BY58" s="86">
        <f>10*LOG10(($O58+NseMeas!T_0+BX58)/($O58+NseMeas!T_0))</f>
        <v>0</v>
      </c>
      <c r="BZ58" s="168">
        <f>UseUserCal*X58*Calibration!AP58*nSD</f>
        <v>0.45096991767149286</v>
      </c>
      <c r="CA58" s="86">
        <f>10*LOG10(($O58+NseMeas!T_0+BZ58)/($O58+NseMeas!T_0))</f>
        <v>2.6878157133072068E-3</v>
      </c>
      <c r="CB58" s="4">
        <f t="shared" si="91"/>
        <v>31.962127505434633</v>
      </c>
      <c r="CC58" s="86">
        <f>10*LOG10(($O58+NseMeas!T_0+CB58)/($O58+NseMeas!T_0))</f>
        <v>0.18649360544435875</v>
      </c>
    </row>
    <row r="59" spans="1:81">
      <c r="A59" s="4">
        <f t="shared" si="92"/>
        <v>26.500001000000001</v>
      </c>
      <c r="B59" s="164">
        <f>T_0*(1+10^('Meas. Noise Std'!AA60/10))</f>
        <v>1207.0605214488303</v>
      </c>
      <c r="C59" s="164">
        <f t="shared" si="49"/>
        <v>298</v>
      </c>
      <c r="D59" s="86">
        <f t="shared" si="50"/>
        <v>298</v>
      </c>
      <c r="E59" s="164">
        <f>IF(UsePreamp,T_0*(10^(Preamp!AE60/10)-1),0)</f>
        <v>627.06052144883006</v>
      </c>
      <c r="F59" s="164">
        <f>T_0*(10^((FieldFox!B59-kT0dB)/10)-1)</f>
        <v>45411.676407373438</v>
      </c>
      <c r="G59" s="86">
        <f>IF(UsePreamp,10^(Preamp!AD60/10),1)</f>
        <v>199.06734581632566</v>
      </c>
      <c r="H59" s="86">
        <f>T_0*(10^(DUT!AE60/10)-1)</f>
        <v>438.4470651377784</v>
      </c>
      <c r="I59" s="86">
        <f>10^(DUT!AD60/10)</f>
        <v>100</v>
      </c>
      <c r="J59" s="87">
        <f t="shared" si="51"/>
        <v>1.622883020530872E-6</v>
      </c>
      <c r="K59" s="87">
        <f t="shared" si="52"/>
        <v>7.3095684618375027E-7</v>
      </c>
      <c r="L59" s="87">
        <f t="shared" si="53"/>
        <v>2.2529120191543056E-9</v>
      </c>
      <c r="M59" s="87">
        <f>IF(UseUserCal,Calibration!M59,0)</f>
        <v>6.1524142648784919E-9</v>
      </c>
      <c r="N59" s="87">
        <f>IF(UseUserCal,Calibration!L59,1)</f>
        <v>199.06734581632574</v>
      </c>
      <c r="O59" s="165">
        <f t="shared" si="54"/>
        <v>438.44706513777868</v>
      </c>
      <c r="P59" s="86">
        <f t="shared" si="55"/>
        <v>99.999999999999943</v>
      </c>
      <c r="Q59" s="170">
        <f t="shared" si="56"/>
        <v>1.1843093476168496E-6</v>
      </c>
      <c r="R59" s="87">
        <f t="shared" si="57"/>
        <v>4.3018303428114972E-7</v>
      </c>
      <c r="S59" s="87">
        <f t="shared" si="58"/>
        <v>1844875354.154526</v>
      </c>
      <c r="T59" s="87">
        <f t="shared" si="59"/>
        <v>825664854.90636683</v>
      </c>
      <c r="U59" s="87">
        <f t="shared" si="60"/>
        <v>0.81010238367386822</v>
      </c>
      <c r="V59" s="87">
        <f t="shared" si="61"/>
        <v>-1.8101023836738681</v>
      </c>
      <c r="W59" s="87">
        <f t="shared" si="62"/>
        <v>5.023425594485369E-5</v>
      </c>
      <c r="X59" s="87">
        <f t="shared" si="63"/>
        <v>1019210499.2481589</v>
      </c>
      <c r="Y59" s="86">
        <f>FieldFox!AG59</f>
        <v>0.1</v>
      </c>
      <c r="Z59" s="86">
        <f>FieldFox!AF59</f>
        <v>0.1</v>
      </c>
      <c r="AA59" s="86">
        <f>FieldFox!AH59</f>
        <v>0.1</v>
      </c>
      <c r="AB59" s="87">
        <f t="shared" si="64"/>
        <v>1.3389238540091567E-3</v>
      </c>
      <c r="AC59" s="87">
        <f t="shared" si="65"/>
        <v>1.3389238540091567E-3</v>
      </c>
      <c r="AD59" s="87">
        <f t="shared" si="66"/>
        <v>1.3389238540091567E-3</v>
      </c>
      <c r="AE59" s="87">
        <f>DUT!AF60</f>
        <v>0.2</v>
      </c>
      <c r="AF59" s="4">
        <f t="shared" si="67"/>
        <v>0.40853898265363492</v>
      </c>
      <c r="AG59" s="4">
        <f>'Meas. Noise Std'!AC60</f>
        <v>0.1</v>
      </c>
      <c r="AH59" s="4">
        <f>'Meas. Noise Std'!AD60</f>
        <v>1</v>
      </c>
      <c r="AI59" s="4">
        <f>DUT!AH60</f>
        <v>0</v>
      </c>
      <c r="AJ59" s="166">
        <f t="shared" si="68"/>
        <v>1.6341559306145403E-2</v>
      </c>
      <c r="AK59" s="166">
        <f t="shared" si="69"/>
        <v>0</v>
      </c>
      <c r="AL59" s="163">
        <f t="shared" si="43"/>
        <v>1.6341559306145403E-2</v>
      </c>
      <c r="AM59" s="4">
        <f t="shared" si="70"/>
        <v>0</v>
      </c>
      <c r="AN59" s="4">
        <f>DUT!AG60</f>
        <v>0.31622776601683794</v>
      </c>
      <c r="AO59" s="4">
        <f>IF(AND(UsePreamp,UseUserCal),Preamp!AF60,0)</f>
        <v>0.3981071705534972</v>
      </c>
      <c r="AP59" s="4">
        <f t="shared" si="71"/>
        <v>0.40853898265363492</v>
      </c>
      <c r="AQ59" s="88">
        <f t="shared" si="72"/>
        <v>1.8055713134491684</v>
      </c>
      <c r="AR59" s="88">
        <f t="shared" si="73"/>
        <v>0</v>
      </c>
      <c r="AS59" s="88">
        <f t="shared" si="45"/>
        <v>1.8055713134491684</v>
      </c>
      <c r="AT59" s="88">
        <f t="shared" si="74"/>
        <v>1.794101024863485</v>
      </c>
      <c r="AU59" s="88">
        <f t="shared" si="75"/>
        <v>15.979472932539238</v>
      </c>
      <c r="AV59" s="88">
        <f t="shared" si="46"/>
        <v>16.079874181384952</v>
      </c>
      <c r="AW59" s="88">
        <f>X59*Calibration!AT59*UseUserCal</f>
        <v>0.22843099786841564</v>
      </c>
      <c r="AX59" s="88">
        <f t="shared" si="76"/>
        <v>3.0744256849308269E-3</v>
      </c>
      <c r="AY59" s="167">
        <f t="shared" si="47"/>
        <v>0.22845168609675937</v>
      </c>
      <c r="AZ59" s="88">
        <f>U59*B59*(10^('Meas. Noise Std'!AB60/(ENRconf*10))-1)</f>
        <v>11.322883725670046</v>
      </c>
      <c r="BA59" s="88">
        <f t="shared" si="77"/>
        <v>0</v>
      </c>
      <c r="BB59" s="88">
        <f t="shared" si="78"/>
        <v>0</v>
      </c>
      <c r="BC59" s="88">
        <f t="shared" si="48"/>
        <v>0</v>
      </c>
      <c r="BD59" s="88">
        <f t="shared" si="79"/>
        <v>19.750501955521155</v>
      </c>
      <c r="BE59" s="4">
        <f t="shared" si="80"/>
        <v>39.501003911042311</v>
      </c>
      <c r="BF59" s="4">
        <f t="shared" si="81"/>
        <v>0.22933854830366102</v>
      </c>
      <c r="BG59" s="88">
        <f t="shared" si="82"/>
        <v>477.94806904882097</v>
      </c>
      <c r="BH59" s="88">
        <f t="shared" si="83"/>
        <v>398.94606122673639</v>
      </c>
      <c r="BI59" s="86">
        <f t="shared" si="84"/>
        <v>5.0907349989800315</v>
      </c>
      <c r="BJ59" s="86">
        <f>10*LOG10(($O59+NseMeas!T_0+BI59)/($O59+NseMeas!T_0))</f>
        <v>3.0245006045761878E-2</v>
      </c>
      <c r="BK59" s="86">
        <f t="shared" si="85"/>
        <v>31.958945865078476</v>
      </c>
      <c r="BL59" s="86">
        <f>10*LOG10(($O59+NseMeas!T_0+BK59)/($O59+NseMeas!T_0))</f>
        <v>0.18647543402094358</v>
      </c>
      <c r="BM59" s="86">
        <f t="shared" si="86"/>
        <v>22.645767451340092</v>
      </c>
      <c r="BN59" s="86">
        <f>10*LOG10(($O59+NseMeas!T_0+BM59)/($O59+NseMeas!T_0))</f>
        <v>0.13295619783758311</v>
      </c>
      <c r="BO59" s="86">
        <f t="shared" si="87"/>
        <v>0.45686199573683128</v>
      </c>
      <c r="BP59" s="86">
        <f>10*LOG10(($O59+NseMeas!T_0+BO59)/($O59+NseMeas!T_0))</f>
        <v>2.7229219493682755E-3</v>
      </c>
      <c r="BQ59" s="86">
        <f t="shared" si="88"/>
        <v>0</v>
      </c>
      <c r="BR59" s="86">
        <f>10*LOG10(($O59+NseMeas!T_0+BQ59)/($O59+NseMeas!T_0))</f>
        <v>0</v>
      </c>
      <c r="BT59" s="86">
        <f t="shared" si="89"/>
        <v>0</v>
      </c>
      <c r="BU59" s="86">
        <f>10*LOG10(($O59+NseMeas!T_0+BT59)/($O59+NseMeas!T_0))</f>
        <v>0</v>
      </c>
      <c r="BV59" s="86">
        <f t="shared" si="90"/>
        <v>31.958945865078476</v>
      </c>
      <c r="BW59" s="86">
        <f>10*LOG10(($O59+NseMeas!T_0+BV59)/($O59+NseMeas!T_0))</f>
        <v>0.18647543402094358</v>
      </c>
      <c r="BX59" s="175">
        <f>UseUserCal*X59*Calibration!AM59*nSD</f>
        <v>0</v>
      </c>
      <c r="BY59" s="86">
        <f>10*LOG10(($O59+NseMeas!T_0+BX59)/($O59+NseMeas!T_0))</f>
        <v>0</v>
      </c>
      <c r="BZ59" s="168">
        <f>UseUserCal*X59*Calibration!AP59*nSD</f>
        <v>0.45096991767149286</v>
      </c>
      <c r="CA59" s="86">
        <f>10*LOG10(($O59+NseMeas!T_0+BZ59)/($O59+NseMeas!T_0))</f>
        <v>2.6878157133072068E-3</v>
      </c>
      <c r="CB59" s="4">
        <f t="shared" si="91"/>
        <v>31.962127505434633</v>
      </c>
      <c r="CC59" s="86">
        <f>10*LOG10(($O59+NseMeas!T_0+CB59)/($O59+NseMeas!T_0))</f>
        <v>0.18649360544435875</v>
      </c>
    </row>
    <row r="60" spans="1:81">
      <c r="A60" s="4">
        <f t="shared" si="92"/>
        <v>26.500001000000001</v>
      </c>
      <c r="B60" s="164">
        <f>T_0*(1+10^('Meas. Noise Std'!AA61/10))</f>
        <v>1207.0605214488303</v>
      </c>
      <c r="C60" s="164">
        <f t="shared" si="49"/>
        <v>298</v>
      </c>
      <c r="D60" s="86">
        <f t="shared" si="50"/>
        <v>298</v>
      </c>
      <c r="E60" s="164">
        <f>IF(UsePreamp,T_0*(10^(Preamp!AE61/10)-1),0)</f>
        <v>627.06052144883006</v>
      </c>
      <c r="F60" s="164">
        <f>T_0*(10^((FieldFox!B60-kT0dB)/10)-1)</f>
        <v>45411.676407373438</v>
      </c>
      <c r="G60" s="86">
        <f>IF(UsePreamp,10^(Preamp!AD61/10),1)</f>
        <v>199.06734581632566</v>
      </c>
      <c r="H60" s="86">
        <f>T_0*(10^(DUT!AE61/10)-1)</f>
        <v>438.4470651377784</v>
      </c>
      <c r="I60" s="86">
        <f>10^(DUT!AD61/10)</f>
        <v>100</v>
      </c>
      <c r="J60" s="87">
        <f t="shared" si="51"/>
        <v>1.622883020530872E-6</v>
      </c>
      <c r="K60" s="87">
        <f t="shared" si="52"/>
        <v>7.3095684618375027E-7</v>
      </c>
      <c r="L60" s="87">
        <f t="shared" si="53"/>
        <v>2.2529120191543056E-9</v>
      </c>
      <c r="M60" s="87">
        <f>IF(UseUserCal,Calibration!M60,0)</f>
        <v>6.1524142648784919E-9</v>
      </c>
      <c r="N60" s="87">
        <f>IF(UseUserCal,Calibration!L60,1)</f>
        <v>199.06734581632574</v>
      </c>
      <c r="O60" s="165">
        <f t="shared" si="54"/>
        <v>438.44706513777868</v>
      </c>
      <c r="P60" s="86">
        <f t="shared" si="55"/>
        <v>99.999999999999943</v>
      </c>
      <c r="Q60" s="170">
        <f t="shared" si="56"/>
        <v>1.1843093476168496E-6</v>
      </c>
      <c r="R60" s="87">
        <f t="shared" si="57"/>
        <v>4.3018303428114972E-7</v>
      </c>
      <c r="S60" s="87">
        <f t="shared" si="58"/>
        <v>1844875354.154526</v>
      </c>
      <c r="T60" s="87">
        <f t="shared" si="59"/>
        <v>825664854.90636683</v>
      </c>
      <c r="U60" s="87">
        <f t="shared" si="60"/>
        <v>0.81010238367386822</v>
      </c>
      <c r="V60" s="87">
        <f t="shared" si="61"/>
        <v>-1.8101023836738681</v>
      </c>
      <c r="W60" s="87">
        <f t="shared" si="62"/>
        <v>5.023425594485369E-5</v>
      </c>
      <c r="X60" s="87">
        <f t="shared" si="63"/>
        <v>1019210499.2481589</v>
      </c>
      <c r="Y60" s="86">
        <f>FieldFox!AG60</f>
        <v>0.1</v>
      </c>
      <c r="Z60" s="86">
        <f>FieldFox!AF60</f>
        <v>0.1</v>
      </c>
      <c r="AA60" s="86">
        <f>FieldFox!AH60</f>
        <v>0.1</v>
      </c>
      <c r="AB60" s="87">
        <f t="shared" si="64"/>
        <v>1.3389238540091567E-3</v>
      </c>
      <c r="AC60" s="87">
        <f t="shared" si="65"/>
        <v>1.3389238540091567E-3</v>
      </c>
      <c r="AD60" s="87">
        <f t="shared" si="66"/>
        <v>1.3389238540091567E-3</v>
      </c>
      <c r="AE60" s="87">
        <f>DUT!AF61</f>
        <v>0.2</v>
      </c>
      <c r="AF60" s="4">
        <f t="shared" si="67"/>
        <v>0.40853898265363492</v>
      </c>
      <c r="AG60" s="4">
        <f>'Meas. Noise Std'!AC61</f>
        <v>0.1</v>
      </c>
      <c r="AH60" s="4">
        <f>'Meas. Noise Std'!AD61</f>
        <v>1</v>
      </c>
      <c r="AI60" s="4">
        <f>DUT!AH61</f>
        <v>0</v>
      </c>
      <c r="AJ60" s="166">
        <f t="shared" si="68"/>
        <v>1.6341559306145403E-2</v>
      </c>
      <c r="AK60" s="166">
        <f t="shared" si="69"/>
        <v>0</v>
      </c>
      <c r="AL60" s="163">
        <f t="shared" si="43"/>
        <v>1.6341559306145403E-2</v>
      </c>
      <c r="AM60" s="4">
        <f t="shared" si="70"/>
        <v>0</v>
      </c>
      <c r="AN60" s="4">
        <f>DUT!AG61</f>
        <v>0.31622776601683794</v>
      </c>
      <c r="AO60" s="4">
        <f>IF(AND(UsePreamp,UseUserCal),Preamp!AF61,0)</f>
        <v>0.3981071705534972</v>
      </c>
      <c r="AP60" s="4">
        <f t="shared" si="71"/>
        <v>0.40853898265363492</v>
      </c>
      <c r="AQ60" s="88">
        <f t="shared" si="72"/>
        <v>1.8055713134491684</v>
      </c>
      <c r="AR60" s="88">
        <f t="shared" si="73"/>
        <v>0</v>
      </c>
      <c r="AS60" s="88">
        <f t="shared" si="45"/>
        <v>1.8055713134491684</v>
      </c>
      <c r="AT60" s="88">
        <f t="shared" si="74"/>
        <v>1.794101024863485</v>
      </c>
      <c r="AU60" s="88">
        <f t="shared" si="75"/>
        <v>15.979472932539238</v>
      </c>
      <c r="AV60" s="88">
        <f t="shared" si="46"/>
        <v>16.079874181384952</v>
      </c>
      <c r="AW60" s="88">
        <f>X60*Calibration!AT60*UseUserCal</f>
        <v>0.22843099786841564</v>
      </c>
      <c r="AX60" s="88">
        <f t="shared" si="76"/>
        <v>3.0744256849308269E-3</v>
      </c>
      <c r="AY60" s="167">
        <f t="shared" si="47"/>
        <v>0.22845168609675937</v>
      </c>
      <c r="AZ60" s="88">
        <f>U60*B60*(10^('Meas. Noise Std'!AB61/(ENRconf*10))-1)</f>
        <v>11.322883725670046</v>
      </c>
      <c r="BA60" s="88">
        <f t="shared" si="77"/>
        <v>0</v>
      </c>
      <c r="BB60" s="88">
        <f t="shared" si="78"/>
        <v>0</v>
      </c>
      <c r="BC60" s="88">
        <f t="shared" si="48"/>
        <v>0</v>
      </c>
      <c r="BD60" s="88">
        <f t="shared" si="79"/>
        <v>19.750501955521155</v>
      </c>
      <c r="BE60" s="4">
        <f t="shared" si="80"/>
        <v>39.501003911042311</v>
      </c>
      <c r="BF60" s="4">
        <f t="shared" si="81"/>
        <v>0.22933854830366102</v>
      </c>
      <c r="BG60" s="88">
        <f t="shared" si="82"/>
        <v>477.94806904882097</v>
      </c>
      <c r="BH60" s="88">
        <f t="shared" si="83"/>
        <v>398.94606122673639</v>
      </c>
      <c r="BI60" s="86">
        <f t="shared" si="84"/>
        <v>5.0907349989800315</v>
      </c>
      <c r="BJ60" s="86">
        <f>10*LOG10(($O60+NseMeas!T_0+BI60)/($O60+NseMeas!T_0))</f>
        <v>3.0245006045761878E-2</v>
      </c>
      <c r="BK60" s="86">
        <f t="shared" si="85"/>
        <v>31.958945865078476</v>
      </c>
      <c r="BL60" s="86">
        <f>10*LOG10(($O60+NseMeas!T_0+BK60)/($O60+NseMeas!T_0))</f>
        <v>0.18647543402094358</v>
      </c>
      <c r="BM60" s="86">
        <f t="shared" si="86"/>
        <v>22.645767451340092</v>
      </c>
      <c r="BN60" s="86">
        <f>10*LOG10(($O60+NseMeas!T_0+BM60)/($O60+NseMeas!T_0))</f>
        <v>0.13295619783758311</v>
      </c>
      <c r="BO60" s="86">
        <f t="shared" si="87"/>
        <v>0.45686199573683128</v>
      </c>
      <c r="BP60" s="86">
        <f>10*LOG10(($O60+NseMeas!T_0+BO60)/($O60+NseMeas!T_0))</f>
        <v>2.7229219493682755E-3</v>
      </c>
      <c r="BQ60" s="86">
        <f t="shared" si="88"/>
        <v>0</v>
      </c>
      <c r="BR60" s="86">
        <f>10*LOG10(($O60+NseMeas!T_0+BQ60)/($O60+NseMeas!T_0))</f>
        <v>0</v>
      </c>
      <c r="BT60" s="86">
        <f t="shared" si="89"/>
        <v>0</v>
      </c>
      <c r="BU60" s="86">
        <f>10*LOG10(($O60+NseMeas!T_0+BT60)/($O60+NseMeas!T_0))</f>
        <v>0</v>
      </c>
      <c r="BV60" s="86">
        <f t="shared" si="90"/>
        <v>31.958945865078476</v>
      </c>
      <c r="BW60" s="86">
        <f>10*LOG10(($O60+NseMeas!T_0+BV60)/($O60+NseMeas!T_0))</f>
        <v>0.18647543402094358</v>
      </c>
      <c r="BX60" s="175">
        <f>UseUserCal*X60*Calibration!AM60*nSD</f>
        <v>0</v>
      </c>
      <c r="BY60" s="86">
        <f>10*LOG10(($O60+NseMeas!T_0+BX60)/($O60+NseMeas!T_0))</f>
        <v>0</v>
      </c>
      <c r="BZ60" s="168">
        <f>UseUserCal*X60*Calibration!AP60*nSD</f>
        <v>0.45096991767149286</v>
      </c>
      <c r="CA60" s="86">
        <f>10*LOG10(($O60+NseMeas!T_0+BZ60)/($O60+NseMeas!T_0))</f>
        <v>2.6878157133072068E-3</v>
      </c>
      <c r="CB60" s="4">
        <f t="shared" si="91"/>
        <v>31.962127505434633</v>
      </c>
      <c r="CC60" s="86">
        <f>10*LOG10(($O60+NseMeas!T_0+CB60)/($O60+NseMeas!T_0))</f>
        <v>0.18649360544435875</v>
      </c>
    </row>
    <row r="61" spans="1:81">
      <c r="A61" s="4">
        <f t="shared" si="92"/>
        <v>26.500001000000001</v>
      </c>
      <c r="B61" s="164">
        <f>T_0*(1+10^('Meas. Noise Std'!AA62/10))</f>
        <v>1207.0605214488303</v>
      </c>
      <c r="C61" s="164">
        <f t="shared" si="49"/>
        <v>298</v>
      </c>
      <c r="D61" s="86">
        <f t="shared" si="50"/>
        <v>298</v>
      </c>
      <c r="E61" s="164">
        <f>IF(UsePreamp,T_0*(10^(Preamp!AE62/10)-1),0)</f>
        <v>627.06052144883006</v>
      </c>
      <c r="F61" s="164">
        <f>T_0*(10^((FieldFox!B61-kT0dB)/10)-1)</f>
        <v>45411.676407373438</v>
      </c>
      <c r="G61" s="86">
        <f>IF(UsePreamp,10^(Preamp!AD62/10),1)</f>
        <v>199.06734581632566</v>
      </c>
      <c r="H61" s="86">
        <f>T_0*(10^(DUT!AE62/10)-1)</f>
        <v>438.4470651377784</v>
      </c>
      <c r="I61" s="86">
        <f>10^(DUT!AD62/10)</f>
        <v>100</v>
      </c>
      <c r="J61" s="87">
        <f t="shared" si="51"/>
        <v>1.622883020530872E-6</v>
      </c>
      <c r="K61" s="87">
        <f t="shared" si="52"/>
        <v>7.3095684618375027E-7</v>
      </c>
      <c r="L61" s="87">
        <f t="shared" si="53"/>
        <v>2.2529120191543056E-9</v>
      </c>
      <c r="M61" s="87">
        <f>IF(UseUserCal,Calibration!M61,0)</f>
        <v>6.1524142648784919E-9</v>
      </c>
      <c r="N61" s="87">
        <f>IF(UseUserCal,Calibration!L61,1)</f>
        <v>199.06734581632574</v>
      </c>
      <c r="O61" s="165">
        <f t="shared" si="54"/>
        <v>438.44706513777868</v>
      </c>
      <c r="P61" s="86">
        <f t="shared" si="55"/>
        <v>99.999999999999943</v>
      </c>
      <c r="Q61" s="170">
        <f t="shared" si="56"/>
        <v>1.1843093476168496E-6</v>
      </c>
      <c r="R61" s="87">
        <f t="shared" si="57"/>
        <v>4.3018303428114972E-7</v>
      </c>
      <c r="S61" s="87">
        <f t="shared" si="58"/>
        <v>1844875354.154526</v>
      </c>
      <c r="T61" s="87">
        <f t="shared" si="59"/>
        <v>825664854.90636683</v>
      </c>
      <c r="U61" s="87">
        <f t="shared" si="60"/>
        <v>0.81010238367386822</v>
      </c>
      <c r="V61" s="87">
        <f t="shared" si="61"/>
        <v>-1.8101023836738681</v>
      </c>
      <c r="W61" s="87">
        <f t="shared" si="62"/>
        <v>5.023425594485369E-5</v>
      </c>
      <c r="X61" s="87">
        <f t="shared" si="63"/>
        <v>1019210499.2481589</v>
      </c>
      <c r="Y61" s="86">
        <f>FieldFox!AG61</f>
        <v>0.1</v>
      </c>
      <c r="Z61" s="86">
        <f>FieldFox!AF61</f>
        <v>0.1</v>
      </c>
      <c r="AA61" s="86">
        <f>FieldFox!AH61</f>
        <v>0.1</v>
      </c>
      <c r="AB61" s="87">
        <f t="shared" si="64"/>
        <v>1.3389238540091567E-3</v>
      </c>
      <c r="AC61" s="87">
        <f t="shared" si="65"/>
        <v>1.3389238540091567E-3</v>
      </c>
      <c r="AD61" s="87">
        <f t="shared" si="66"/>
        <v>1.3389238540091567E-3</v>
      </c>
      <c r="AE61" s="87">
        <f>DUT!AF62</f>
        <v>0.2</v>
      </c>
      <c r="AF61" s="4">
        <f t="shared" si="67"/>
        <v>0.40853898265363492</v>
      </c>
      <c r="AG61" s="4">
        <f>'Meas. Noise Std'!AC62</f>
        <v>0.1</v>
      </c>
      <c r="AH61" s="4">
        <f>'Meas. Noise Std'!AD62</f>
        <v>1</v>
      </c>
      <c r="AI61" s="4">
        <f>DUT!AH62</f>
        <v>0</v>
      </c>
      <c r="AJ61" s="166">
        <f t="shared" si="68"/>
        <v>1.6341559306145403E-2</v>
      </c>
      <c r="AK61" s="166">
        <f t="shared" si="69"/>
        <v>0</v>
      </c>
      <c r="AL61" s="163">
        <f t="shared" si="43"/>
        <v>1.6341559306145403E-2</v>
      </c>
      <c r="AM61" s="4">
        <f t="shared" si="70"/>
        <v>0</v>
      </c>
      <c r="AN61" s="4">
        <f>DUT!AG62</f>
        <v>0.31622776601683794</v>
      </c>
      <c r="AO61" s="4">
        <f>IF(AND(UsePreamp,UseUserCal),Preamp!AF62,0)</f>
        <v>0.3981071705534972</v>
      </c>
      <c r="AP61" s="4">
        <f t="shared" si="71"/>
        <v>0.40853898265363492</v>
      </c>
      <c r="AQ61" s="88">
        <f t="shared" si="72"/>
        <v>1.8055713134491684</v>
      </c>
      <c r="AR61" s="88">
        <f t="shared" si="73"/>
        <v>0</v>
      </c>
      <c r="AS61" s="88">
        <f t="shared" si="45"/>
        <v>1.8055713134491684</v>
      </c>
      <c r="AT61" s="88">
        <f t="shared" si="74"/>
        <v>1.794101024863485</v>
      </c>
      <c r="AU61" s="88">
        <f t="shared" si="75"/>
        <v>15.979472932539238</v>
      </c>
      <c r="AV61" s="88">
        <f t="shared" si="46"/>
        <v>16.079874181384952</v>
      </c>
      <c r="AW61" s="88">
        <f>X61*Calibration!AT61*UseUserCal</f>
        <v>0.22843099786841564</v>
      </c>
      <c r="AX61" s="88">
        <f t="shared" si="76"/>
        <v>3.0744256849308269E-3</v>
      </c>
      <c r="AY61" s="167">
        <f t="shared" si="47"/>
        <v>0.22845168609675937</v>
      </c>
      <c r="AZ61" s="88">
        <f>U61*B61*(10^('Meas. Noise Std'!AB62/(ENRconf*10))-1)</f>
        <v>11.322883725670046</v>
      </c>
      <c r="BA61" s="88">
        <f t="shared" si="77"/>
        <v>0</v>
      </c>
      <c r="BB61" s="88">
        <f t="shared" si="78"/>
        <v>0</v>
      </c>
      <c r="BC61" s="88">
        <f t="shared" si="48"/>
        <v>0</v>
      </c>
      <c r="BD61" s="88">
        <f t="shared" si="79"/>
        <v>19.750501955521155</v>
      </c>
      <c r="BE61" s="4">
        <f t="shared" si="80"/>
        <v>39.501003911042311</v>
      </c>
      <c r="BF61" s="4">
        <f t="shared" si="81"/>
        <v>0.22933854830366102</v>
      </c>
      <c r="BG61" s="88">
        <f t="shared" si="82"/>
        <v>477.94806904882097</v>
      </c>
      <c r="BH61" s="88">
        <f t="shared" si="83"/>
        <v>398.94606122673639</v>
      </c>
      <c r="BI61" s="86">
        <f t="shared" si="84"/>
        <v>5.0907349989800315</v>
      </c>
      <c r="BJ61" s="86">
        <f>10*LOG10(($O61+NseMeas!T_0+BI61)/($O61+NseMeas!T_0))</f>
        <v>3.0245006045761878E-2</v>
      </c>
      <c r="BK61" s="86">
        <f t="shared" si="85"/>
        <v>31.958945865078476</v>
      </c>
      <c r="BL61" s="86">
        <f>10*LOG10(($O61+NseMeas!T_0+BK61)/($O61+NseMeas!T_0))</f>
        <v>0.18647543402094358</v>
      </c>
      <c r="BM61" s="86">
        <f t="shared" si="86"/>
        <v>22.645767451340092</v>
      </c>
      <c r="BN61" s="86">
        <f>10*LOG10(($O61+NseMeas!T_0+BM61)/($O61+NseMeas!T_0))</f>
        <v>0.13295619783758311</v>
      </c>
      <c r="BO61" s="86">
        <f t="shared" si="87"/>
        <v>0.45686199573683128</v>
      </c>
      <c r="BP61" s="86">
        <f>10*LOG10(($O61+NseMeas!T_0+BO61)/($O61+NseMeas!T_0))</f>
        <v>2.7229219493682755E-3</v>
      </c>
      <c r="BQ61" s="86">
        <f t="shared" si="88"/>
        <v>0</v>
      </c>
      <c r="BR61" s="86">
        <f>10*LOG10(($O61+NseMeas!T_0+BQ61)/($O61+NseMeas!T_0))</f>
        <v>0</v>
      </c>
      <c r="BT61" s="86">
        <f t="shared" si="89"/>
        <v>0</v>
      </c>
      <c r="BU61" s="86">
        <f>10*LOG10(($O61+NseMeas!T_0+BT61)/($O61+NseMeas!T_0))</f>
        <v>0</v>
      </c>
      <c r="BV61" s="86">
        <f t="shared" si="90"/>
        <v>31.958945865078476</v>
      </c>
      <c r="BW61" s="86">
        <f>10*LOG10(($O61+NseMeas!T_0+BV61)/($O61+NseMeas!T_0))</f>
        <v>0.18647543402094358</v>
      </c>
      <c r="BX61" s="175">
        <f>UseUserCal*X61*Calibration!AM61*nSD</f>
        <v>0</v>
      </c>
      <c r="BY61" s="86">
        <f>10*LOG10(($O61+NseMeas!T_0+BX61)/($O61+NseMeas!T_0))</f>
        <v>0</v>
      </c>
      <c r="BZ61" s="168">
        <f>UseUserCal*X61*Calibration!AP61*nSD</f>
        <v>0.45096991767149286</v>
      </c>
      <c r="CA61" s="86">
        <f>10*LOG10(($O61+NseMeas!T_0+BZ61)/($O61+NseMeas!T_0))</f>
        <v>2.6878157133072068E-3</v>
      </c>
      <c r="CB61" s="4">
        <f t="shared" si="91"/>
        <v>31.962127505434633</v>
      </c>
      <c r="CC61" s="86">
        <f>10*LOG10(($O61+NseMeas!T_0+CB61)/($O61+NseMeas!T_0))</f>
        <v>0.18649360544435875</v>
      </c>
    </row>
    <row r="62" spans="1:81">
      <c r="A62" s="4">
        <f t="shared" si="92"/>
        <v>26.500001000000001</v>
      </c>
      <c r="B62" s="164">
        <f>T_0*(1+10^('Meas. Noise Std'!AA63/10))</f>
        <v>1207.0605214488303</v>
      </c>
      <c r="C62" s="164">
        <f t="shared" si="49"/>
        <v>298</v>
      </c>
      <c r="D62" s="86">
        <f t="shared" si="50"/>
        <v>298</v>
      </c>
      <c r="E62" s="164">
        <f>IF(UsePreamp,T_0*(10^(Preamp!AE63/10)-1),0)</f>
        <v>627.06052144883006</v>
      </c>
      <c r="F62" s="164">
        <f>T_0*(10^((FieldFox!B62-kT0dB)/10)-1)</f>
        <v>45411.676407373438</v>
      </c>
      <c r="G62" s="86">
        <f>IF(UsePreamp,10^(Preamp!AD63/10),1)</f>
        <v>199.06734581632566</v>
      </c>
      <c r="H62" s="86">
        <f>T_0*(10^(DUT!AE63/10)-1)</f>
        <v>438.4470651377784</v>
      </c>
      <c r="I62" s="86">
        <f>10^(DUT!AD63/10)</f>
        <v>100</v>
      </c>
      <c r="J62" s="87">
        <f t="shared" si="51"/>
        <v>1.622883020530872E-6</v>
      </c>
      <c r="K62" s="87">
        <f t="shared" si="52"/>
        <v>7.3095684618375027E-7</v>
      </c>
      <c r="L62" s="87">
        <f t="shared" si="53"/>
        <v>2.2529120191543056E-9</v>
      </c>
      <c r="M62" s="87">
        <f>IF(UseUserCal,Calibration!M62,0)</f>
        <v>6.1524142648784919E-9</v>
      </c>
      <c r="N62" s="87">
        <f>IF(UseUserCal,Calibration!L62,1)</f>
        <v>199.06734581632574</v>
      </c>
      <c r="O62" s="165">
        <f t="shared" si="54"/>
        <v>438.44706513777868</v>
      </c>
      <c r="P62" s="86">
        <f t="shared" si="55"/>
        <v>99.999999999999943</v>
      </c>
      <c r="Q62" s="170">
        <f t="shared" si="56"/>
        <v>1.1843093476168496E-6</v>
      </c>
      <c r="R62" s="87">
        <f t="shared" si="57"/>
        <v>4.3018303428114972E-7</v>
      </c>
      <c r="S62" s="87">
        <f t="shared" si="58"/>
        <v>1844875354.154526</v>
      </c>
      <c r="T62" s="87">
        <f t="shared" si="59"/>
        <v>825664854.90636683</v>
      </c>
      <c r="U62" s="87">
        <f t="shared" si="60"/>
        <v>0.81010238367386822</v>
      </c>
      <c r="V62" s="87">
        <f t="shared" si="61"/>
        <v>-1.8101023836738681</v>
      </c>
      <c r="W62" s="87">
        <f t="shared" si="62"/>
        <v>5.023425594485369E-5</v>
      </c>
      <c r="X62" s="87">
        <f t="shared" si="63"/>
        <v>1019210499.2481589</v>
      </c>
      <c r="Y62" s="86">
        <f>FieldFox!AG62</f>
        <v>0.1</v>
      </c>
      <c r="Z62" s="86">
        <f>FieldFox!AF62</f>
        <v>0.1</v>
      </c>
      <c r="AA62" s="86">
        <f>FieldFox!AH62</f>
        <v>0.1</v>
      </c>
      <c r="AB62" s="87">
        <f t="shared" si="64"/>
        <v>1.3389238540091567E-3</v>
      </c>
      <c r="AC62" s="87">
        <f t="shared" si="65"/>
        <v>1.3389238540091567E-3</v>
      </c>
      <c r="AD62" s="87">
        <f t="shared" si="66"/>
        <v>1.3389238540091567E-3</v>
      </c>
      <c r="AE62" s="87">
        <f>DUT!AF63</f>
        <v>0.2</v>
      </c>
      <c r="AF62" s="4">
        <f t="shared" si="67"/>
        <v>0.40853898265363492</v>
      </c>
      <c r="AG62" s="4">
        <f>'Meas. Noise Std'!AC63</f>
        <v>0.1</v>
      </c>
      <c r="AH62" s="4">
        <f>'Meas. Noise Std'!AD63</f>
        <v>1</v>
      </c>
      <c r="AI62" s="4">
        <f>DUT!AH63</f>
        <v>0</v>
      </c>
      <c r="AJ62" s="166">
        <f t="shared" si="68"/>
        <v>1.6341559306145403E-2</v>
      </c>
      <c r="AK62" s="166">
        <f t="shared" si="69"/>
        <v>0</v>
      </c>
      <c r="AL62" s="163">
        <f t="shared" si="43"/>
        <v>1.6341559306145403E-2</v>
      </c>
      <c r="AM62" s="4">
        <f t="shared" si="70"/>
        <v>0</v>
      </c>
      <c r="AN62" s="4">
        <f>DUT!AG63</f>
        <v>0.31622776601683794</v>
      </c>
      <c r="AO62" s="4">
        <f>IF(AND(UsePreamp,UseUserCal),Preamp!AF63,0)</f>
        <v>0.3981071705534972</v>
      </c>
      <c r="AP62" s="4">
        <f t="shared" si="71"/>
        <v>0.40853898265363492</v>
      </c>
      <c r="AQ62" s="88">
        <f t="shared" si="72"/>
        <v>1.8055713134491684</v>
      </c>
      <c r="AR62" s="88">
        <f t="shared" si="73"/>
        <v>0</v>
      </c>
      <c r="AS62" s="88">
        <f t="shared" si="45"/>
        <v>1.8055713134491684</v>
      </c>
      <c r="AT62" s="88">
        <f t="shared" si="74"/>
        <v>1.794101024863485</v>
      </c>
      <c r="AU62" s="88">
        <f t="shared" si="75"/>
        <v>15.979472932539238</v>
      </c>
      <c r="AV62" s="88">
        <f t="shared" si="46"/>
        <v>16.079874181384952</v>
      </c>
      <c r="AW62" s="88">
        <f>X62*Calibration!AT62*UseUserCal</f>
        <v>0.22843099786841564</v>
      </c>
      <c r="AX62" s="88">
        <f t="shared" si="76"/>
        <v>3.0744256849308269E-3</v>
      </c>
      <c r="AY62" s="167">
        <f t="shared" si="47"/>
        <v>0.22845168609675937</v>
      </c>
      <c r="AZ62" s="88">
        <f>U62*B62*(10^('Meas. Noise Std'!AB63/(ENRconf*10))-1)</f>
        <v>11.322883725670046</v>
      </c>
      <c r="BA62" s="88">
        <f t="shared" si="77"/>
        <v>0</v>
      </c>
      <c r="BB62" s="88">
        <f t="shared" si="78"/>
        <v>0</v>
      </c>
      <c r="BC62" s="88">
        <f t="shared" si="48"/>
        <v>0</v>
      </c>
      <c r="BD62" s="88">
        <f t="shared" si="79"/>
        <v>19.750501955521155</v>
      </c>
      <c r="BE62" s="4">
        <f t="shared" si="80"/>
        <v>39.501003911042311</v>
      </c>
      <c r="BF62" s="4">
        <f t="shared" si="81"/>
        <v>0.22933854830366102</v>
      </c>
      <c r="BG62" s="88">
        <f t="shared" si="82"/>
        <v>477.94806904882097</v>
      </c>
      <c r="BH62" s="88">
        <f t="shared" si="83"/>
        <v>398.94606122673639</v>
      </c>
      <c r="BI62" s="86">
        <f t="shared" si="84"/>
        <v>5.0907349989800315</v>
      </c>
      <c r="BJ62" s="86">
        <f>10*LOG10(($O62+NseMeas!T_0+BI62)/($O62+NseMeas!T_0))</f>
        <v>3.0245006045761878E-2</v>
      </c>
      <c r="BK62" s="86">
        <f t="shared" si="85"/>
        <v>31.958945865078476</v>
      </c>
      <c r="BL62" s="86">
        <f>10*LOG10(($O62+NseMeas!T_0+BK62)/($O62+NseMeas!T_0))</f>
        <v>0.18647543402094358</v>
      </c>
      <c r="BM62" s="86">
        <f t="shared" si="86"/>
        <v>22.645767451340092</v>
      </c>
      <c r="BN62" s="86">
        <f>10*LOG10(($O62+NseMeas!T_0+BM62)/($O62+NseMeas!T_0))</f>
        <v>0.13295619783758311</v>
      </c>
      <c r="BO62" s="86">
        <f t="shared" si="87"/>
        <v>0.45686199573683128</v>
      </c>
      <c r="BP62" s="86">
        <f>10*LOG10(($O62+NseMeas!T_0+BO62)/($O62+NseMeas!T_0))</f>
        <v>2.7229219493682755E-3</v>
      </c>
      <c r="BQ62" s="86">
        <f t="shared" si="88"/>
        <v>0</v>
      </c>
      <c r="BR62" s="86">
        <f>10*LOG10(($O62+NseMeas!T_0+BQ62)/($O62+NseMeas!T_0))</f>
        <v>0</v>
      </c>
      <c r="BT62" s="86">
        <f t="shared" si="89"/>
        <v>0</v>
      </c>
      <c r="BU62" s="86">
        <f>10*LOG10(($O62+NseMeas!T_0+BT62)/($O62+NseMeas!T_0))</f>
        <v>0</v>
      </c>
      <c r="BV62" s="86">
        <f t="shared" si="90"/>
        <v>31.958945865078476</v>
      </c>
      <c r="BW62" s="86">
        <f>10*LOG10(($O62+NseMeas!T_0+BV62)/($O62+NseMeas!T_0))</f>
        <v>0.18647543402094358</v>
      </c>
      <c r="BX62" s="175">
        <f>UseUserCal*X62*Calibration!AM62*nSD</f>
        <v>0</v>
      </c>
      <c r="BY62" s="86">
        <f>10*LOG10(($O62+NseMeas!T_0+BX62)/($O62+NseMeas!T_0))</f>
        <v>0</v>
      </c>
      <c r="BZ62" s="168">
        <f>UseUserCal*X62*Calibration!AP62*nSD</f>
        <v>0.45096991767149286</v>
      </c>
      <c r="CA62" s="86">
        <f>10*LOG10(($O62+NseMeas!T_0+BZ62)/($O62+NseMeas!T_0))</f>
        <v>2.6878157133072068E-3</v>
      </c>
      <c r="CB62" s="4">
        <f t="shared" si="91"/>
        <v>31.962127505434633</v>
      </c>
      <c r="CC62" s="86">
        <f>10*LOG10(($O62+NseMeas!T_0+CB62)/($O62+NseMeas!T_0))</f>
        <v>0.18649360544435875</v>
      </c>
    </row>
    <row r="63" spans="1:81">
      <c r="A63" s="4">
        <f t="shared" si="92"/>
        <v>26.500001000000001</v>
      </c>
      <c r="B63" s="164">
        <f>T_0*(1+10^('Meas. Noise Std'!AA64/10))</f>
        <v>1207.0605214488303</v>
      </c>
      <c r="C63" s="164">
        <f t="shared" si="49"/>
        <v>298</v>
      </c>
      <c r="D63" s="86">
        <f t="shared" si="50"/>
        <v>298</v>
      </c>
      <c r="E63" s="164">
        <f>IF(UsePreamp,T_0*(10^(Preamp!AE64/10)-1),0)</f>
        <v>627.06052144883006</v>
      </c>
      <c r="F63" s="164">
        <f>T_0*(10^((FieldFox!B63-kT0dB)/10)-1)</f>
        <v>45411.676407373438</v>
      </c>
      <c r="G63" s="86">
        <f>IF(UsePreamp,10^(Preamp!AD64/10),1)</f>
        <v>199.06734581632566</v>
      </c>
      <c r="H63" s="86">
        <f>T_0*(10^(DUT!AE64/10)-1)</f>
        <v>438.4470651377784</v>
      </c>
      <c r="I63" s="86">
        <f>10^(DUT!AD64/10)</f>
        <v>100</v>
      </c>
      <c r="J63" s="87">
        <f t="shared" si="51"/>
        <v>1.622883020530872E-6</v>
      </c>
      <c r="K63" s="87">
        <f t="shared" si="52"/>
        <v>7.3095684618375027E-7</v>
      </c>
      <c r="L63" s="87">
        <f t="shared" si="53"/>
        <v>2.2529120191543056E-9</v>
      </c>
      <c r="M63" s="87">
        <f>IF(UseUserCal,Calibration!M63,0)</f>
        <v>6.1524142648784919E-9</v>
      </c>
      <c r="N63" s="87">
        <f>IF(UseUserCal,Calibration!L63,1)</f>
        <v>199.06734581632574</v>
      </c>
      <c r="O63" s="165">
        <f t="shared" si="54"/>
        <v>438.44706513777868</v>
      </c>
      <c r="P63" s="86">
        <f t="shared" si="55"/>
        <v>99.999999999999943</v>
      </c>
      <c r="Q63" s="170">
        <f t="shared" si="56"/>
        <v>1.1843093476168496E-6</v>
      </c>
      <c r="R63" s="87">
        <f t="shared" si="57"/>
        <v>4.3018303428114972E-7</v>
      </c>
      <c r="S63" s="87">
        <f t="shared" si="58"/>
        <v>1844875354.154526</v>
      </c>
      <c r="T63" s="87">
        <f t="shared" si="59"/>
        <v>825664854.90636683</v>
      </c>
      <c r="U63" s="87">
        <f t="shared" si="60"/>
        <v>0.81010238367386822</v>
      </c>
      <c r="V63" s="87">
        <f t="shared" si="61"/>
        <v>-1.8101023836738681</v>
      </c>
      <c r="W63" s="87">
        <f t="shared" si="62"/>
        <v>5.023425594485369E-5</v>
      </c>
      <c r="X63" s="87">
        <f t="shared" si="63"/>
        <v>1019210499.2481589</v>
      </c>
      <c r="Y63" s="86">
        <f>FieldFox!AG63</f>
        <v>0.1</v>
      </c>
      <c r="Z63" s="86">
        <f>FieldFox!AF63</f>
        <v>0.1</v>
      </c>
      <c r="AA63" s="86">
        <f>FieldFox!AH63</f>
        <v>0.1</v>
      </c>
      <c r="AB63" s="87">
        <f t="shared" si="64"/>
        <v>1.3389238540091567E-3</v>
      </c>
      <c r="AC63" s="87">
        <f t="shared" si="65"/>
        <v>1.3389238540091567E-3</v>
      </c>
      <c r="AD63" s="87">
        <f t="shared" si="66"/>
        <v>1.3389238540091567E-3</v>
      </c>
      <c r="AE63" s="87">
        <f>DUT!AF64</f>
        <v>0.2</v>
      </c>
      <c r="AF63" s="4">
        <f t="shared" si="67"/>
        <v>0.40853898265363492</v>
      </c>
      <c r="AG63" s="4">
        <f>'Meas. Noise Std'!AC64</f>
        <v>0.1</v>
      </c>
      <c r="AH63" s="4">
        <f>'Meas. Noise Std'!AD64</f>
        <v>1</v>
      </c>
      <c r="AI63" s="4">
        <f>DUT!AH64</f>
        <v>0</v>
      </c>
      <c r="AJ63" s="166">
        <f t="shared" si="68"/>
        <v>1.6341559306145403E-2</v>
      </c>
      <c r="AK63" s="166">
        <f t="shared" si="69"/>
        <v>0</v>
      </c>
      <c r="AL63" s="163">
        <f t="shared" si="43"/>
        <v>1.6341559306145403E-2</v>
      </c>
      <c r="AM63" s="4">
        <f t="shared" si="70"/>
        <v>0</v>
      </c>
      <c r="AN63" s="4">
        <f>DUT!AG64</f>
        <v>0.31622776601683794</v>
      </c>
      <c r="AO63" s="4">
        <f>IF(AND(UsePreamp,UseUserCal),Preamp!AF64,0)</f>
        <v>0.3981071705534972</v>
      </c>
      <c r="AP63" s="4">
        <f t="shared" si="71"/>
        <v>0.40853898265363492</v>
      </c>
      <c r="AQ63" s="88">
        <f t="shared" si="72"/>
        <v>1.8055713134491684</v>
      </c>
      <c r="AR63" s="88">
        <f t="shared" si="73"/>
        <v>0</v>
      </c>
      <c r="AS63" s="88">
        <f t="shared" si="45"/>
        <v>1.8055713134491684</v>
      </c>
      <c r="AT63" s="88">
        <f t="shared" si="74"/>
        <v>1.794101024863485</v>
      </c>
      <c r="AU63" s="88">
        <f t="shared" si="75"/>
        <v>15.979472932539238</v>
      </c>
      <c r="AV63" s="88">
        <f t="shared" si="46"/>
        <v>16.079874181384952</v>
      </c>
      <c r="AW63" s="88">
        <f>X63*Calibration!AT63*UseUserCal</f>
        <v>0.22843099786841564</v>
      </c>
      <c r="AX63" s="88">
        <f t="shared" si="76"/>
        <v>3.0744256849308269E-3</v>
      </c>
      <c r="AY63" s="167">
        <f t="shared" si="47"/>
        <v>0.22845168609675937</v>
      </c>
      <c r="AZ63" s="88">
        <f>U63*B63*(10^('Meas. Noise Std'!AB64/(ENRconf*10))-1)</f>
        <v>11.322883725670046</v>
      </c>
      <c r="BA63" s="88">
        <f t="shared" si="77"/>
        <v>0</v>
      </c>
      <c r="BB63" s="88">
        <f t="shared" si="78"/>
        <v>0</v>
      </c>
      <c r="BC63" s="88">
        <f t="shared" si="48"/>
        <v>0</v>
      </c>
      <c r="BD63" s="88">
        <f t="shared" si="79"/>
        <v>19.750501955521155</v>
      </c>
      <c r="BE63" s="4">
        <f t="shared" si="80"/>
        <v>39.501003911042311</v>
      </c>
      <c r="BF63" s="4">
        <f t="shared" si="81"/>
        <v>0.22933854830366102</v>
      </c>
      <c r="BG63" s="88">
        <f t="shared" si="82"/>
        <v>477.94806904882097</v>
      </c>
      <c r="BH63" s="88">
        <f t="shared" si="83"/>
        <v>398.94606122673639</v>
      </c>
      <c r="BI63" s="86">
        <f t="shared" si="84"/>
        <v>5.0907349989800315</v>
      </c>
      <c r="BJ63" s="86">
        <f>10*LOG10(($O63+NseMeas!T_0+BI63)/($O63+NseMeas!T_0))</f>
        <v>3.0245006045761878E-2</v>
      </c>
      <c r="BK63" s="86">
        <f t="shared" si="85"/>
        <v>31.958945865078476</v>
      </c>
      <c r="BL63" s="86">
        <f>10*LOG10(($O63+NseMeas!T_0+BK63)/($O63+NseMeas!T_0))</f>
        <v>0.18647543402094358</v>
      </c>
      <c r="BM63" s="86">
        <f t="shared" si="86"/>
        <v>22.645767451340092</v>
      </c>
      <c r="BN63" s="86">
        <f>10*LOG10(($O63+NseMeas!T_0+BM63)/($O63+NseMeas!T_0))</f>
        <v>0.13295619783758311</v>
      </c>
      <c r="BO63" s="86">
        <f t="shared" si="87"/>
        <v>0.45686199573683128</v>
      </c>
      <c r="BP63" s="86">
        <f>10*LOG10(($O63+NseMeas!T_0+BO63)/($O63+NseMeas!T_0))</f>
        <v>2.7229219493682755E-3</v>
      </c>
      <c r="BQ63" s="86">
        <f t="shared" si="88"/>
        <v>0</v>
      </c>
      <c r="BR63" s="86">
        <f>10*LOG10(($O63+NseMeas!T_0+BQ63)/($O63+NseMeas!T_0))</f>
        <v>0</v>
      </c>
      <c r="BT63" s="86">
        <f t="shared" si="89"/>
        <v>0</v>
      </c>
      <c r="BU63" s="86">
        <f>10*LOG10(($O63+NseMeas!T_0+BT63)/($O63+NseMeas!T_0))</f>
        <v>0</v>
      </c>
      <c r="BV63" s="86">
        <f t="shared" si="90"/>
        <v>31.958945865078476</v>
      </c>
      <c r="BW63" s="86">
        <f>10*LOG10(($O63+NseMeas!T_0+BV63)/($O63+NseMeas!T_0))</f>
        <v>0.18647543402094358</v>
      </c>
      <c r="BX63" s="175">
        <f>UseUserCal*X63*Calibration!AM63*nSD</f>
        <v>0</v>
      </c>
      <c r="BY63" s="86">
        <f>10*LOG10(($O63+NseMeas!T_0+BX63)/($O63+NseMeas!T_0))</f>
        <v>0</v>
      </c>
      <c r="BZ63" s="168">
        <f>UseUserCal*X63*Calibration!AP63*nSD</f>
        <v>0.45096991767149286</v>
      </c>
      <c r="CA63" s="86">
        <f>10*LOG10(($O63+NseMeas!T_0+BZ63)/($O63+NseMeas!T_0))</f>
        <v>2.6878157133072068E-3</v>
      </c>
      <c r="CB63" s="4">
        <f t="shared" si="91"/>
        <v>31.962127505434633</v>
      </c>
      <c r="CC63" s="86">
        <f>10*LOG10(($O63+NseMeas!T_0+CB63)/($O63+NseMeas!T_0))</f>
        <v>0.18649360544435875</v>
      </c>
    </row>
    <row r="64" spans="1:81">
      <c r="A64" s="4">
        <f t="shared" si="92"/>
        <v>26.500001000000001</v>
      </c>
      <c r="B64" s="164">
        <f>T_0*(1+10^('Meas. Noise Std'!AA65/10))</f>
        <v>1207.0605214488303</v>
      </c>
      <c r="C64" s="164">
        <f t="shared" si="49"/>
        <v>298</v>
      </c>
      <c r="D64" s="86">
        <f t="shared" si="50"/>
        <v>298</v>
      </c>
      <c r="E64" s="164">
        <f>IF(UsePreamp,T_0*(10^(Preamp!AE65/10)-1),0)</f>
        <v>627.06052144883006</v>
      </c>
      <c r="F64" s="164">
        <f>T_0*(10^((FieldFox!B64-kT0dB)/10)-1)</f>
        <v>45411.676407373438</v>
      </c>
      <c r="G64" s="86">
        <f>IF(UsePreamp,10^(Preamp!AD65/10),1)</f>
        <v>199.06734581632566</v>
      </c>
      <c r="H64" s="86">
        <f>T_0*(10^(DUT!AE65/10)-1)</f>
        <v>438.4470651377784</v>
      </c>
      <c r="I64" s="86">
        <f>10^(DUT!AD65/10)</f>
        <v>100</v>
      </c>
      <c r="J64" s="87">
        <f t="shared" si="51"/>
        <v>1.622883020530872E-6</v>
      </c>
      <c r="K64" s="87">
        <f t="shared" si="52"/>
        <v>7.3095684618375027E-7</v>
      </c>
      <c r="L64" s="87">
        <f t="shared" si="53"/>
        <v>2.2529120191543056E-9</v>
      </c>
      <c r="M64" s="87">
        <f>IF(UseUserCal,Calibration!M64,0)</f>
        <v>6.1524142648784919E-9</v>
      </c>
      <c r="N64" s="87">
        <f>IF(UseUserCal,Calibration!L64,1)</f>
        <v>199.06734581632574</v>
      </c>
      <c r="O64" s="165">
        <f t="shared" si="54"/>
        <v>438.44706513777868</v>
      </c>
      <c r="P64" s="86">
        <f t="shared" si="55"/>
        <v>99.999999999999943</v>
      </c>
      <c r="Q64" s="170">
        <f t="shared" si="56"/>
        <v>1.1843093476168496E-6</v>
      </c>
      <c r="R64" s="87">
        <f t="shared" si="57"/>
        <v>4.3018303428114972E-7</v>
      </c>
      <c r="S64" s="87">
        <f t="shared" si="58"/>
        <v>1844875354.154526</v>
      </c>
      <c r="T64" s="87">
        <f t="shared" si="59"/>
        <v>825664854.90636683</v>
      </c>
      <c r="U64" s="87">
        <f t="shared" si="60"/>
        <v>0.81010238367386822</v>
      </c>
      <c r="V64" s="87">
        <f t="shared" si="61"/>
        <v>-1.8101023836738681</v>
      </c>
      <c r="W64" s="87">
        <f t="shared" si="62"/>
        <v>5.023425594485369E-5</v>
      </c>
      <c r="X64" s="87">
        <f t="shared" si="63"/>
        <v>1019210499.2481589</v>
      </c>
      <c r="Y64" s="86">
        <f>FieldFox!AG64</f>
        <v>0.1</v>
      </c>
      <c r="Z64" s="86">
        <f>FieldFox!AF64</f>
        <v>0.1</v>
      </c>
      <c r="AA64" s="86">
        <f>FieldFox!AH64</f>
        <v>0.1</v>
      </c>
      <c r="AB64" s="87">
        <f t="shared" si="64"/>
        <v>1.3389238540091567E-3</v>
      </c>
      <c r="AC64" s="87">
        <f t="shared" si="65"/>
        <v>1.3389238540091567E-3</v>
      </c>
      <c r="AD64" s="87">
        <f t="shared" si="66"/>
        <v>1.3389238540091567E-3</v>
      </c>
      <c r="AE64" s="87">
        <f>DUT!AF65</f>
        <v>0.2</v>
      </c>
      <c r="AF64" s="4">
        <f t="shared" si="67"/>
        <v>0.40853898265363492</v>
      </c>
      <c r="AG64" s="4">
        <f>'Meas. Noise Std'!AC65</f>
        <v>0.1</v>
      </c>
      <c r="AH64" s="4">
        <f>'Meas. Noise Std'!AD65</f>
        <v>1</v>
      </c>
      <c r="AI64" s="4">
        <f>DUT!AH65</f>
        <v>0</v>
      </c>
      <c r="AJ64" s="166">
        <f t="shared" si="68"/>
        <v>1.6341559306145403E-2</v>
      </c>
      <c r="AK64" s="166">
        <f t="shared" si="69"/>
        <v>0</v>
      </c>
      <c r="AL64" s="163">
        <f t="shared" si="43"/>
        <v>1.6341559306145403E-2</v>
      </c>
      <c r="AM64" s="4">
        <f t="shared" si="70"/>
        <v>0</v>
      </c>
      <c r="AN64" s="4">
        <f>DUT!AG65</f>
        <v>0.31622776601683794</v>
      </c>
      <c r="AO64" s="4">
        <f>IF(AND(UsePreamp,UseUserCal),Preamp!AF65,0)</f>
        <v>0.3981071705534972</v>
      </c>
      <c r="AP64" s="4">
        <f t="shared" si="71"/>
        <v>0.40853898265363492</v>
      </c>
      <c r="AQ64" s="88">
        <f t="shared" si="72"/>
        <v>1.8055713134491684</v>
      </c>
      <c r="AR64" s="88">
        <f t="shared" si="73"/>
        <v>0</v>
      </c>
      <c r="AS64" s="88">
        <f t="shared" si="45"/>
        <v>1.8055713134491684</v>
      </c>
      <c r="AT64" s="88">
        <f t="shared" si="74"/>
        <v>1.794101024863485</v>
      </c>
      <c r="AU64" s="88">
        <f t="shared" si="75"/>
        <v>15.979472932539238</v>
      </c>
      <c r="AV64" s="88">
        <f t="shared" si="46"/>
        <v>16.079874181384952</v>
      </c>
      <c r="AW64" s="88">
        <f>X64*Calibration!AT64*UseUserCal</f>
        <v>0.22843099786841564</v>
      </c>
      <c r="AX64" s="88">
        <f t="shared" si="76"/>
        <v>3.0744256849308269E-3</v>
      </c>
      <c r="AY64" s="167">
        <f t="shared" si="47"/>
        <v>0.22845168609675937</v>
      </c>
      <c r="AZ64" s="88">
        <f>U64*B64*(10^('Meas. Noise Std'!AB65/(ENRconf*10))-1)</f>
        <v>11.322883725670046</v>
      </c>
      <c r="BA64" s="88">
        <f t="shared" si="77"/>
        <v>0</v>
      </c>
      <c r="BB64" s="88">
        <f t="shared" si="78"/>
        <v>0</v>
      </c>
      <c r="BC64" s="88">
        <f t="shared" si="48"/>
        <v>0</v>
      </c>
      <c r="BD64" s="88">
        <f t="shared" si="79"/>
        <v>19.750501955521155</v>
      </c>
      <c r="BE64" s="4">
        <f t="shared" si="80"/>
        <v>39.501003911042311</v>
      </c>
      <c r="BF64" s="4">
        <f t="shared" si="81"/>
        <v>0.22933854830366102</v>
      </c>
      <c r="BG64" s="88">
        <f t="shared" si="82"/>
        <v>477.94806904882097</v>
      </c>
      <c r="BH64" s="88">
        <f t="shared" si="83"/>
        <v>398.94606122673639</v>
      </c>
      <c r="BI64" s="86">
        <f t="shared" si="84"/>
        <v>5.0907349989800315</v>
      </c>
      <c r="BJ64" s="86">
        <f>10*LOG10(($O64+NseMeas!T_0+BI64)/($O64+NseMeas!T_0))</f>
        <v>3.0245006045761878E-2</v>
      </c>
      <c r="BK64" s="86">
        <f t="shared" si="85"/>
        <v>31.958945865078476</v>
      </c>
      <c r="BL64" s="86">
        <f>10*LOG10(($O64+NseMeas!T_0+BK64)/($O64+NseMeas!T_0))</f>
        <v>0.18647543402094358</v>
      </c>
      <c r="BM64" s="86">
        <f t="shared" si="86"/>
        <v>22.645767451340092</v>
      </c>
      <c r="BN64" s="86">
        <f>10*LOG10(($O64+NseMeas!T_0+BM64)/($O64+NseMeas!T_0))</f>
        <v>0.13295619783758311</v>
      </c>
      <c r="BO64" s="86">
        <f t="shared" si="87"/>
        <v>0.45686199573683128</v>
      </c>
      <c r="BP64" s="86">
        <f>10*LOG10(($O64+NseMeas!T_0+BO64)/($O64+NseMeas!T_0))</f>
        <v>2.7229219493682755E-3</v>
      </c>
      <c r="BQ64" s="86">
        <f t="shared" si="88"/>
        <v>0</v>
      </c>
      <c r="BR64" s="86">
        <f>10*LOG10(($O64+NseMeas!T_0+BQ64)/($O64+NseMeas!T_0))</f>
        <v>0</v>
      </c>
      <c r="BT64" s="86">
        <f t="shared" si="89"/>
        <v>0</v>
      </c>
      <c r="BU64" s="86">
        <f>10*LOG10(($O64+NseMeas!T_0+BT64)/($O64+NseMeas!T_0))</f>
        <v>0</v>
      </c>
      <c r="BV64" s="86">
        <f t="shared" si="90"/>
        <v>31.958945865078476</v>
      </c>
      <c r="BW64" s="86">
        <f>10*LOG10(($O64+NseMeas!T_0+BV64)/($O64+NseMeas!T_0))</f>
        <v>0.18647543402094358</v>
      </c>
      <c r="BX64" s="175">
        <f>UseUserCal*X64*Calibration!AM64*nSD</f>
        <v>0</v>
      </c>
      <c r="BY64" s="86">
        <f>10*LOG10(($O64+NseMeas!T_0+BX64)/($O64+NseMeas!T_0))</f>
        <v>0</v>
      </c>
      <c r="BZ64" s="168">
        <f>UseUserCal*X64*Calibration!AP64*nSD</f>
        <v>0.45096991767149286</v>
      </c>
      <c r="CA64" s="86">
        <f>10*LOG10(($O64+NseMeas!T_0+BZ64)/($O64+NseMeas!T_0))</f>
        <v>2.6878157133072068E-3</v>
      </c>
      <c r="CB64" s="4">
        <f t="shared" si="91"/>
        <v>31.962127505434633</v>
      </c>
      <c r="CC64" s="86">
        <f>10*LOG10(($O64+NseMeas!T_0+CB64)/($O64+NseMeas!T_0))</f>
        <v>0.18649360544435875</v>
      </c>
    </row>
    <row r="65" spans="1:81">
      <c r="A65" s="4">
        <f t="shared" si="92"/>
        <v>26.500001000000001</v>
      </c>
      <c r="B65" s="164">
        <f>T_0*(1+10^('Meas. Noise Std'!AA66/10))</f>
        <v>1207.0605214488303</v>
      </c>
      <c r="C65" s="164">
        <f t="shared" si="49"/>
        <v>298</v>
      </c>
      <c r="D65" s="86">
        <f t="shared" si="50"/>
        <v>298</v>
      </c>
      <c r="E65" s="164">
        <f>IF(UsePreamp,T_0*(10^(Preamp!AE66/10)-1),0)</f>
        <v>627.06052144883006</v>
      </c>
      <c r="F65" s="164">
        <f>T_0*(10^((FieldFox!B65-kT0dB)/10)-1)</f>
        <v>45411.676407373438</v>
      </c>
      <c r="G65" s="86">
        <f>IF(UsePreamp,10^(Preamp!AD66/10),1)</f>
        <v>199.06734581632566</v>
      </c>
      <c r="H65" s="86">
        <f>T_0*(10^(DUT!AE66/10)-1)</f>
        <v>438.4470651377784</v>
      </c>
      <c r="I65" s="86">
        <f>10^(DUT!AD66/10)</f>
        <v>100</v>
      </c>
      <c r="J65" s="87">
        <f t="shared" si="51"/>
        <v>1.622883020530872E-6</v>
      </c>
      <c r="K65" s="87">
        <f t="shared" si="52"/>
        <v>7.3095684618375027E-7</v>
      </c>
      <c r="L65" s="87">
        <f t="shared" si="53"/>
        <v>2.2529120191543056E-9</v>
      </c>
      <c r="M65" s="87">
        <f>IF(UseUserCal,Calibration!M65,0)</f>
        <v>6.1524142648784919E-9</v>
      </c>
      <c r="N65" s="87">
        <f>IF(UseUserCal,Calibration!L65,1)</f>
        <v>199.06734581632574</v>
      </c>
      <c r="O65" s="165">
        <f t="shared" si="54"/>
        <v>438.44706513777868</v>
      </c>
      <c r="P65" s="86">
        <f t="shared" si="55"/>
        <v>99.999999999999943</v>
      </c>
      <c r="Q65" s="170">
        <f t="shared" si="56"/>
        <v>1.1843093476168496E-6</v>
      </c>
      <c r="R65" s="87">
        <f t="shared" si="57"/>
        <v>4.3018303428114972E-7</v>
      </c>
      <c r="S65" s="87">
        <f t="shared" si="58"/>
        <v>1844875354.154526</v>
      </c>
      <c r="T65" s="87">
        <f t="shared" si="59"/>
        <v>825664854.90636683</v>
      </c>
      <c r="U65" s="87">
        <f t="shared" si="60"/>
        <v>0.81010238367386822</v>
      </c>
      <c r="V65" s="87">
        <f t="shared" si="61"/>
        <v>-1.8101023836738681</v>
      </c>
      <c r="W65" s="87">
        <f t="shared" si="62"/>
        <v>5.023425594485369E-5</v>
      </c>
      <c r="X65" s="87">
        <f t="shared" si="63"/>
        <v>1019210499.2481589</v>
      </c>
      <c r="Y65" s="86">
        <f>FieldFox!AG65</f>
        <v>0.1</v>
      </c>
      <c r="Z65" s="86">
        <f>FieldFox!AF65</f>
        <v>0.1</v>
      </c>
      <c r="AA65" s="86">
        <f>FieldFox!AH65</f>
        <v>0.1</v>
      </c>
      <c r="AB65" s="87">
        <f t="shared" si="64"/>
        <v>1.3389238540091567E-3</v>
      </c>
      <c r="AC65" s="87">
        <f t="shared" si="65"/>
        <v>1.3389238540091567E-3</v>
      </c>
      <c r="AD65" s="87">
        <f t="shared" si="66"/>
        <v>1.3389238540091567E-3</v>
      </c>
      <c r="AE65" s="87">
        <f>DUT!AF66</f>
        <v>0.2</v>
      </c>
      <c r="AF65" s="4">
        <f t="shared" si="67"/>
        <v>0.40853898265363492</v>
      </c>
      <c r="AG65" s="4">
        <f>'Meas. Noise Std'!AC66</f>
        <v>0.1</v>
      </c>
      <c r="AH65" s="4">
        <f>'Meas. Noise Std'!AD66</f>
        <v>1</v>
      </c>
      <c r="AI65" s="4">
        <f>DUT!AH66</f>
        <v>0</v>
      </c>
      <c r="AJ65" s="166">
        <f t="shared" si="68"/>
        <v>1.6341559306145403E-2</v>
      </c>
      <c r="AK65" s="166">
        <f t="shared" si="69"/>
        <v>0</v>
      </c>
      <c r="AL65" s="163">
        <f t="shared" si="43"/>
        <v>1.6341559306145403E-2</v>
      </c>
      <c r="AM65" s="4">
        <f t="shared" si="70"/>
        <v>0</v>
      </c>
      <c r="AN65" s="4">
        <f>DUT!AG66</f>
        <v>0.31622776601683794</v>
      </c>
      <c r="AO65" s="4">
        <f>IF(AND(UsePreamp,UseUserCal),Preamp!AF66,0)</f>
        <v>0.3981071705534972</v>
      </c>
      <c r="AP65" s="4">
        <f t="shared" si="71"/>
        <v>0.40853898265363492</v>
      </c>
      <c r="AQ65" s="88">
        <f t="shared" si="72"/>
        <v>1.8055713134491684</v>
      </c>
      <c r="AR65" s="88">
        <f t="shared" si="73"/>
        <v>0</v>
      </c>
      <c r="AS65" s="88">
        <f t="shared" si="45"/>
        <v>1.8055713134491684</v>
      </c>
      <c r="AT65" s="88">
        <f t="shared" si="74"/>
        <v>1.794101024863485</v>
      </c>
      <c r="AU65" s="88">
        <f t="shared" si="75"/>
        <v>15.979472932539238</v>
      </c>
      <c r="AV65" s="88">
        <f t="shared" si="46"/>
        <v>16.079874181384952</v>
      </c>
      <c r="AW65" s="88">
        <f>X65*Calibration!AT65*UseUserCal</f>
        <v>0.22843099786841564</v>
      </c>
      <c r="AX65" s="88">
        <f t="shared" si="76"/>
        <v>3.0744256849308269E-3</v>
      </c>
      <c r="AY65" s="167">
        <f t="shared" si="47"/>
        <v>0.22845168609675937</v>
      </c>
      <c r="AZ65" s="88">
        <f>U65*B65*(10^('Meas. Noise Std'!AB66/(ENRconf*10))-1)</f>
        <v>11.322883725670046</v>
      </c>
      <c r="BA65" s="88">
        <f t="shared" si="77"/>
        <v>0</v>
      </c>
      <c r="BB65" s="88">
        <f t="shared" si="78"/>
        <v>0</v>
      </c>
      <c r="BC65" s="88">
        <f t="shared" si="48"/>
        <v>0</v>
      </c>
      <c r="BD65" s="88">
        <f t="shared" si="79"/>
        <v>19.750501955521155</v>
      </c>
      <c r="BE65" s="4">
        <f t="shared" si="80"/>
        <v>39.501003911042311</v>
      </c>
      <c r="BF65" s="4">
        <f t="shared" si="81"/>
        <v>0.22933854830366102</v>
      </c>
      <c r="BG65" s="88">
        <f t="shared" si="82"/>
        <v>477.94806904882097</v>
      </c>
      <c r="BH65" s="88">
        <f t="shared" si="83"/>
        <v>398.94606122673639</v>
      </c>
      <c r="BI65" s="86">
        <f t="shared" si="84"/>
        <v>5.0907349989800315</v>
      </c>
      <c r="BJ65" s="86">
        <f>10*LOG10(($O65+NseMeas!T_0+BI65)/($O65+NseMeas!T_0))</f>
        <v>3.0245006045761878E-2</v>
      </c>
      <c r="BK65" s="86">
        <f t="shared" si="85"/>
        <v>31.958945865078476</v>
      </c>
      <c r="BL65" s="86">
        <f>10*LOG10(($O65+NseMeas!T_0+BK65)/($O65+NseMeas!T_0))</f>
        <v>0.18647543402094358</v>
      </c>
      <c r="BM65" s="86">
        <f t="shared" si="86"/>
        <v>22.645767451340092</v>
      </c>
      <c r="BN65" s="86">
        <f>10*LOG10(($O65+NseMeas!T_0+BM65)/($O65+NseMeas!T_0))</f>
        <v>0.13295619783758311</v>
      </c>
      <c r="BO65" s="86">
        <f t="shared" si="87"/>
        <v>0.45686199573683128</v>
      </c>
      <c r="BP65" s="86">
        <f>10*LOG10(($O65+NseMeas!T_0+BO65)/($O65+NseMeas!T_0))</f>
        <v>2.7229219493682755E-3</v>
      </c>
      <c r="BQ65" s="86">
        <f t="shared" si="88"/>
        <v>0</v>
      </c>
      <c r="BR65" s="86">
        <f>10*LOG10(($O65+NseMeas!T_0+BQ65)/($O65+NseMeas!T_0))</f>
        <v>0</v>
      </c>
      <c r="BT65" s="86">
        <f t="shared" si="89"/>
        <v>0</v>
      </c>
      <c r="BU65" s="86">
        <f>10*LOG10(($O65+NseMeas!T_0+BT65)/($O65+NseMeas!T_0))</f>
        <v>0</v>
      </c>
      <c r="BV65" s="86">
        <f t="shared" si="90"/>
        <v>31.958945865078476</v>
      </c>
      <c r="BW65" s="86">
        <f>10*LOG10(($O65+NseMeas!T_0+BV65)/($O65+NseMeas!T_0))</f>
        <v>0.18647543402094358</v>
      </c>
      <c r="BX65" s="175">
        <f>UseUserCal*X65*Calibration!AM65*nSD</f>
        <v>0</v>
      </c>
      <c r="BY65" s="86">
        <f>10*LOG10(($O65+NseMeas!T_0+BX65)/($O65+NseMeas!T_0))</f>
        <v>0</v>
      </c>
      <c r="BZ65" s="168">
        <f>UseUserCal*X65*Calibration!AP65*nSD</f>
        <v>0.45096991767149286</v>
      </c>
      <c r="CA65" s="86">
        <f>10*LOG10(($O65+NseMeas!T_0+BZ65)/($O65+NseMeas!T_0))</f>
        <v>2.6878157133072068E-3</v>
      </c>
      <c r="CB65" s="4">
        <f t="shared" si="91"/>
        <v>31.962127505434633</v>
      </c>
      <c r="CC65" s="86">
        <f>10*LOG10(($O65+NseMeas!T_0+CB65)/($O65+NseMeas!T_0))</f>
        <v>0.18649360544435875</v>
      </c>
    </row>
    <row r="66" spans="1:81">
      <c r="A66" s="4">
        <f t="shared" si="92"/>
        <v>26.500001000000001</v>
      </c>
      <c r="B66" s="164">
        <f>T_0*(1+10^('Meas. Noise Std'!AA67/10))</f>
        <v>1207.0605214488303</v>
      </c>
      <c r="C66" s="164">
        <f t="shared" si="49"/>
        <v>298</v>
      </c>
      <c r="D66" s="86">
        <f t="shared" si="50"/>
        <v>298</v>
      </c>
      <c r="E66" s="164">
        <f>IF(UsePreamp,T_0*(10^(Preamp!AE67/10)-1),0)</f>
        <v>627.06052144883006</v>
      </c>
      <c r="F66" s="164">
        <f>T_0*(10^((FieldFox!B66-kT0dB)/10)-1)</f>
        <v>45411.676407373438</v>
      </c>
      <c r="G66" s="86">
        <f>IF(UsePreamp,10^(Preamp!AD67/10),1)</f>
        <v>199.06734581632566</v>
      </c>
      <c r="H66" s="86">
        <f>T_0*(10^(DUT!AE67/10)-1)</f>
        <v>438.4470651377784</v>
      </c>
      <c r="I66" s="86">
        <f>10^(DUT!AD67/10)</f>
        <v>100</v>
      </c>
      <c r="J66" s="87">
        <f t="shared" si="51"/>
        <v>1.622883020530872E-6</v>
      </c>
      <c r="K66" s="87">
        <f t="shared" si="52"/>
        <v>7.3095684618375027E-7</v>
      </c>
      <c r="L66" s="87">
        <f t="shared" si="53"/>
        <v>2.2529120191543056E-9</v>
      </c>
      <c r="M66" s="87">
        <f>IF(UseUserCal,Calibration!M66,0)</f>
        <v>6.1524142648784919E-9</v>
      </c>
      <c r="N66" s="87">
        <f>IF(UseUserCal,Calibration!L66,1)</f>
        <v>199.06734581632574</v>
      </c>
      <c r="O66" s="165">
        <f t="shared" si="54"/>
        <v>438.44706513777868</v>
      </c>
      <c r="P66" s="86">
        <f t="shared" si="55"/>
        <v>99.999999999999943</v>
      </c>
      <c r="Q66" s="170">
        <f t="shared" si="56"/>
        <v>1.1843093476168496E-6</v>
      </c>
      <c r="R66" s="87">
        <f t="shared" si="57"/>
        <v>4.3018303428114972E-7</v>
      </c>
      <c r="S66" s="87">
        <f t="shared" si="58"/>
        <v>1844875354.154526</v>
      </c>
      <c r="T66" s="87">
        <f t="shared" si="59"/>
        <v>825664854.90636683</v>
      </c>
      <c r="U66" s="87">
        <f t="shared" si="60"/>
        <v>0.81010238367386822</v>
      </c>
      <c r="V66" s="87">
        <f t="shared" si="61"/>
        <v>-1.8101023836738681</v>
      </c>
      <c r="W66" s="87">
        <f t="shared" si="62"/>
        <v>5.023425594485369E-5</v>
      </c>
      <c r="X66" s="87">
        <f t="shared" si="63"/>
        <v>1019210499.2481589</v>
      </c>
      <c r="Y66" s="86">
        <f>FieldFox!AG66</f>
        <v>0.1</v>
      </c>
      <c r="Z66" s="86">
        <f>FieldFox!AF66</f>
        <v>0.1</v>
      </c>
      <c r="AA66" s="86">
        <f>FieldFox!AH66</f>
        <v>0.1</v>
      </c>
      <c r="AB66" s="87">
        <f t="shared" si="64"/>
        <v>1.3389238540091567E-3</v>
      </c>
      <c r="AC66" s="87">
        <f t="shared" si="65"/>
        <v>1.3389238540091567E-3</v>
      </c>
      <c r="AD66" s="87">
        <f t="shared" si="66"/>
        <v>1.3389238540091567E-3</v>
      </c>
      <c r="AE66" s="87">
        <f>DUT!AF67</f>
        <v>0.2</v>
      </c>
      <c r="AF66" s="4">
        <f t="shared" si="67"/>
        <v>0.40853898265363492</v>
      </c>
      <c r="AG66" s="4">
        <f>'Meas. Noise Std'!AC67</f>
        <v>0.1</v>
      </c>
      <c r="AH66" s="4">
        <f>'Meas. Noise Std'!AD67</f>
        <v>1</v>
      </c>
      <c r="AI66" s="4">
        <f>DUT!AH67</f>
        <v>0</v>
      </c>
      <c r="AJ66" s="166">
        <f t="shared" si="68"/>
        <v>1.6341559306145403E-2</v>
      </c>
      <c r="AK66" s="166">
        <f t="shared" si="69"/>
        <v>0</v>
      </c>
      <c r="AL66" s="163">
        <f t="shared" si="43"/>
        <v>1.6341559306145403E-2</v>
      </c>
      <c r="AM66" s="4">
        <f t="shared" si="70"/>
        <v>0</v>
      </c>
      <c r="AN66" s="4">
        <f>DUT!AG67</f>
        <v>0.31622776601683794</v>
      </c>
      <c r="AO66" s="4">
        <f>IF(AND(UsePreamp,UseUserCal),Preamp!AF67,0)</f>
        <v>0.3981071705534972</v>
      </c>
      <c r="AP66" s="4">
        <f t="shared" si="71"/>
        <v>0.40853898265363492</v>
      </c>
      <c r="AQ66" s="88">
        <f t="shared" si="72"/>
        <v>1.8055713134491684</v>
      </c>
      <c r="AR66" s="88">
        <f t="shared" si="73"/>
        <v>0</v>
      </c>
      <c r="AS66" s="88">
        <f t="shared" si="45"/>
        <v>1.8055713134491684</v>
      </c>
      <c r="AT66" s="88">
        <f t="shared" si="74"/>
        <v>1.794101024863485</v>
      </c>
      <c r="AU66" s="88">
        <f t="shared" si="75"/>
        <v>15.979472932539238</v>
      </c>
      <c r="AV66" s="88">
        <f t="shared" si="46"/>
        <v>16.079874181384952</v>
      </c>
      <c r="AW66" s="88">
        <f>X66*Calibration!AT66*UseUserCal</f>
        <v>0.22843099786841564</v>
      </c>
      <c r="AX66" s="88">
        <f t="shared" si="76"/>
        <v>3.0744256849308269E-3</v>
      </c>
      <c r="AY66" s="167">
        <f t="shared" si="47"/>
        <v>0.22845168609675937</v>
      </c>
      <c r="AZ66" s="88">
        <f>U66*B66*(10^('Meas. Noise Std'!AB67/(ENRconf*10))-1)</f>
        <v>11.322883725670046</v>
      </c>
      <c r="BA66" s="88">
        <f t="shared" si="77"/>
        <v>0</v>
      </c>
      <c r="BB66" s="88">
        <f t="shared" si="78"/>
        <v>0</v>
      </c>
      <c r="BC66" s="88">
        <f t="shared" si="48"/>
        <v>0</v>
      </c>
      <c r="BD66" s="88">
        <f t="shared" si="79"/>
        <v>19.750501955521155</v>
      </c>
      <c r="BE66" s="4">
        <f t="shared" si="80"/>
        <v>39.501003911042311</v>
      </c>
      <c r="BF66" s="4">
        <f t="shared" si="81"/>
        <v>0.22933854830366102</v>
      </c>
      <c r="BG66" s="88">
        <f t="shared" si="82"/>
        <v>477.94806904882097</v>
      </c>
      <c r="BH66" s="88">
        <f t="shared" si="83"/>
        <v>398.94606122673639</v>
      </c>
      <c r="BI66" s="86">
        <f t="shared" si="84"/>
        <v>5.0907349989800315</v>
      </c>
      <c r="BJ66" s="86">
        <f>10*LOG10(($O66+NseMeas!T_0+BI66)/($O66+NseMeas!T_0))</f>
        <v>3.0245006045761878E-2</v>
      </c>
      <c r="BK66" s="86">
        <f t="shared" si="85"/>
        <v>31.958945865078476</v>
      </c>
      <c r="BL66" s="86">
        <f>10*LOG10(($O66+NseMeas!T_0+BK66)/($O66+NseMeas!T_0))</f>
        <v>0.18647543402094358</v>
      </c>
      <c r="BM66" s="86">
        <f t="shared" si="86"/>
        <v>22.645767451340092</v>
      </c>
      <c r="BN66" s="86">
        <f>10*LOG10(($O66+NseMeas!T_0+BM66)/($O66+NseMeas!T_0))</f>
        <v>0.13295619783758311</v>
      </c>
      <c r="BO66" s="86">
        <f t="shared" si="87"/>
        <v>0.45686199573683128</v>
      </c>
      <c r="BP66" s="86">
        <f>10*LOG10(($O66+NseMeas!T_0+BO66)/($O66+NseMeas!T_0))</f>
        <v>2.7229219493682755E-3</v>
      </c>
      <c r="BQ66" s="86">
        <f t="shared" si="88"/>
        <v>0</v>
      </c>
      <c r="BR66" s="86">
        <f>10*LOG10(($O66+NseMeas!T_0+BQ66)/($O66+NseMeas!T_0))</f>
        <v>0</v>
      </c>
      <c r="BT66" s="86">
        <f t="shared" si="89"/>
        <v>0</v>
      </c>
      <c r="BU66" s="86">
        <f>10*LOG10(($O66+NseMeas!T_0+BT66)/($O66+NseMeas!T_0))</f>
        <v>0</v>
      </c>
      <c r="BV66" s="86">
        <f t="shared" si="90"/>
        <v>31.958945865078476</v>
      </c>
      <c r="BW66" s="86">
        <f>10*LOG10(($O66+NseMeas!T_0+BV66)/($O66+NseMeas!T_0))</f>
        <v>0.18647543402094358</v>
      </c>
      <c r="BX66" s="175">
        <f>UseUserCal*X66*Calibration!AM66*nSD</f>
        <v>0</v>
      </c>
      <c r="BY66" s="86">
        <f>10*LOG10(($O66+NseMeas!T_0+BX66)/($O66+NseMeas!T_0))</f>
        <v>0</v>
      </c>
      <c r="BZ66" s="168">
        <f>UseUserCal*X66*Calibration!AP66*nSD</f>
        <v>0.45096991767149286</v>
      </c>
      <c r="CA66" s="86">
        <f>10*LOG10(($O66+NseMeas!T_0+BZ66)/($O66+NseMeas!T_0))</f>
        <v>2.6878157133072068E-3</v>
      </c>
      <c r="CB66" s="4">
        <f t="shared" si="91"/>
        <v>31.962127505434633</v>
      </c>
      <c r="CC66" s="86">
        <f>10*LOG10(($O66+NseMeas!T_0+CB66)/($O66+NseMeas!T_0))</f>
        <v>0.18649360544435875</v>
      </c>
    </row>
    <row r="67" spans="1:81">
      <c r="A67" s="4">
        <f t="shared" si="92"/>
        <v>26.500001000000001</v>
      </c>
      <c r="B67" s="164">
        <f>T_0*(1+10^('Meas. Noise Std'!AA68/10))</f>
        <v>1207.0605214488303</v>
      </c>
      <c r="C67" s="164">
        <f t="shared" si="49"/>
        <v>298</v>
      </c>
      <c r="D67" s="86">
        <f t="shared" si="50"/>
        <v>298</v>
      </c>
      <c r="E67" s="164">
        <f>IF(UsePreamp,T_0*(10^(Preamp!AE68/10)-1),0)</f>
        <v>627.06052144883006</v>
      </c>
      <c r="F67" s="164">
        <f>T_0*(10^((FieldFox!B67-kT0dB)/10)-1)</f>
        <v>45411.676407373438</v>
      </c>
      <c r="G67" s="86">
        <f>IF(UsePreamp,10^(Preamp!AD68/10),1)</f>
        <v>199.06734581632566</v>
      </c>
      <c r="H67" s="86">
        <f>T_0*(10^(DUT!AE68/10)-1)</f>
        <v>438.4470651377784</v>
      </c>
      <c r="I67" s="86">
        <f>10^(DUT!AD68/10)</f>
        <v>100</v>
      </c>
      <c r="J67" s="87">
        <f t="shared" si="51"/>
        <v>1.622883020530872E-6</v>
      </c>
      <c r="K67" s="87">
        <f t="shared" si="52"/>
        <v>7.3095684618375027E-7</v>
      </c>
      <c r="L67" s="87">
        <f t="shared" si="53"/>
        <v>2.2529120191543056E-9</v>
      </c>
      <c r="M67" s="87">
        <f>IF(UseUserCal,Calibration!M67,0)</f>
        <v>6.1524142648784919E-9</v>
      </c>
      <c r="N67" s="87">
        <f>IF(UseUserCal,Calibration!L67,1)</f>
        <v>199.06734581632574</v>
      </c>
      <c r="O67" s="165">
        <f t="shared" si="54"/>
        <v>438.44706513777868</v>
      </c>
      <c r="P67" s="86">
        <f t="shared" si="55"/>
        <v>99.999999999999943</v>
      </c>
      <c r="Q67" s="170">
        <f t="shared" si="56"/>
        <v>1.1843093476168496E-6</v>
      </c>
      <c r="R67" s="87">
        <f t="shared" si="57"/>
        <v>4.3018303428114972E-7</v>
      </c>
      <c r="S67" s="87">
        <f t="shared" si="58"/>
        <v>1844875354.154526</v>
      </c>
      <c r="T67" s="87">
        <f t="shared" si="59"/>
        <v>825664854.90636683</v>
      </c>
      <c r="U67" s="87">
        <f t="shared" si="60"/>
        <v>0.81010238367386822</v>
      </c>
      <c r="V67" s="87">
        <f t="shared" si="61"/>
        <v>-1.8101023836738681</v>
      </c>
      <c r="W67" s="87">
        <f t="shared" si="62"/>
        <v>5.023425594485369E-5</v>
      </c>
      <c r="X67" s="87">
        <f t="shared" si="63"/>
        <v>1019210499.2481589</v>
      </c>
      <c r="Y67" s="86">
        <f>FieldFox!AG67</f>
        <v>0.1</v>
      </c>
      <c r="Z67" s="86">
        <f>FieldFox!AF67</f>
        <v>0.1</v>
      </c>
      <c r="AA67" s="86">
        <f>FieldFox!AH67</f>
        <v>0.1</v>
      </c>
      <c r="AB67" s="87">
        <f t="shared" si="64"/>
        <v>1.3389238540091567E-3</v>
      </c>
      <c r="AC67" s="87">
        <f t="shared" si="65"/>
        <v>1.3389238540091567E-3</v>
      </c>
      <c r="AD67" s="87">
        <f t="shared" si="66"/>
        <v>1.3389238540091567E-3</v>
      </c>
      <c r="AE67" s="87">
        <f>DUT!AF68</f>
        <v>0.2</v>
      </c>
      <c r="AF67" s="4">
        <f t="shared" si="67"/>
        <v>0.40853898265363492</v>
      </c>
      <c r="AG67" s="4">
        <f>'Meas. Noise Std'!AC68</f>
        <v>0.1</v>
      </c>
      <c r="AH67" s="4">
        <f>'Meas. Noise Std'!AD68</f>
        <v>1</v>
      </c>
      <c r="AI67" s="4">
        <f>DUT!AH68</f>
        <v>0</v>
      </c>
      <c r="AJ67" s="166">
        <f t="shared" si="68"/>
        <v>1.6341559306145403E-2</v>
      </c>
      <c r="AK67" s="166">
        <f t="shared" si="69"/>
        <v>0</v>
      </c>
      <c r="AL67" s="163">
        <f t="shared" si="43"/>
        <v>1.6341559306145403E-2</v>
      </c>
      <c r="AM67" s="4">
        <f t="shared" si="70"/>
        <v>0</v>
      </c>
      <c r="AN67" s="4">
        <f>DUT!AG68</f>
        <v>0.31622776601683794</v>
      </c>
      <c r="AO67" s="4">
        <f>IF(AND(UsePreamp,UseUserCal),Preamp!AF68,0)</f>
        <v>0.3981071705534972</v>
      </c>
      <c r="AP67" s="4">
        <f t="shared" si="71"/>
        <v>0.40853898265363492</v>
      </c>
      <c r="AQ67" s="88">
        <f t="shared" si="72"/>
        <v>1.8055713134491684</v>
      </c>
      <c r="AR67" s="88">
        <f t="shared" si="73"/>
        <v>0</v>
      </c>
      <c r="AS67" s="88">
        <f t="shared" si="45"/>
        <v>1.8055713134491684</v>
      </c>
      <c r="AT67" s="88">
        <f t="shared" si="74"/>
        <v>1.794101024863485</v>
      </c>
      <c r="AU67" s="88">
        <f t="shared" si="75"/>
        <v>15.979472932539238</v>
      </c>
      <c r="AV67" s="88">
        <f t="shared" si="46"/>
        <v>16.079874181384952</v>
      </c>
      <c r="AW67" s="88">
        <f>X67*Calibration!AT67*UseUserCal</f>
        <v>0.22843099786841564</v>
      </c>
      <c r="AX67" s="88">
        <f t="shared" si="76"/>
        <v>3.0744256849308269E-3</v>
      </c>
      <c r="AY67" s="167">
        <f t="shared" si="47"/>
        <v>0.22845168609675937</v>
      </c>
      <c r="AZ67" s="88">
        <f>U67*B67*(10^('Meas. Noise Std'!AB68/(ENRconf*10))-1)</f>
        <v>11.322883725670046</v>
      </c>
      <c r="BA67" s="88">
        <f t="shared" si="77"/>
        <v>0</v>
      </c>
      <c r="BB67" s="88">
        <f t="shared" si="78"/>
        <v>0</v>
      </c>
      <c r="BC67" s="88">
        <f t="shared" si="48"/>
        <v>0</v>
      </c>
      <c r="BD67" s="88">
        <f t="shared" si="79"/>
        <v>19.750501955521155</v>
      </c>
      <c r="BE67" s="4">
        <f t="shared" si="80"/>
        <v>39.501003911042311</v>
      </c>
      <c r="BF67" s="4">
        <f t="shared" si="81"/>
        <v>0.22933854830366102</v>
      </c>
      <c r="BG67" s="88">
        <f t="shared" si="82"/>
        <v>477.94806904882097</v>
      </c>
      <c r="BH67" s="88">
        <f t="shared" si="83"/>
        <v>398.94606122673639</v>
      </c>
      <c r="BI67" s="86">
        <f t="shared" si="84"/>
        <v>5.0907349989800315</v>
      </c>
      <c r="BJ67" s="86">
        <f>10*LOG10(($O67+NseMeas!T_0+BI67)/($O67+NseMeas!T_0))</f>
        <v>3.0245006045761878E-2</v>
      </c>
      <c r="BK67" s="86">
        <f t="shared" si="85"/>
        <v>31.958945865078476</v>
      </c>
      <c r="BL67" s="86">
        <f>10*LOG10(($O67+NseMeas!T_0+BK67)/($O67+NseMeas!T_0))</f>
        <v>0.18647543402094358</v>
      </c>
      <c r="BM67" s="86">
        <f t="shared" si="86"/>
        <v>22.645767451340092</v>
      </c>
      <c r="BN67" s="86">
        <f>10*LOG10(($O67+NseMeas!T_0+BM67)/($O67+NseMeas!T_0))</f>
        <v>0.13295619783758311</v>
      </c>
      <c r="BO67" s="86">
        <f t="shared" si="87"/>
        <v>0.45686199573683128</v>
      </c>
      <c r="BP67" s="86">
        <f>10*LOG10(($O67+NseMeas!T_0+BO67)/($O67+NseMeas!T_0))</f>
        <v>2.7229219493682755E-3</v>
      </c>
      <c r="BQ67" s="86">
        <f t="shared" si="88"/>
        <v>0</v>
      </c>
      <c r="BR67" s="86">
        <f>10*LOG10(($O67+NseMeas!T_0+BQ67)/($O67+NseMeas!T_0))</f>
        <v>0</v>
      </c>
      <c r="BT67" s="86">
        <f t="shared" si="89"/>
        <v>0</v>
      </c>
      <c r="BU67" s="86">
        <f>10*LOG10(($O67+NseMeas!T_0+BT67)/($O67+NseMeas!T_0))</f>
        <v>0</v>
      </c>
      <c r="BV67" s="86">
        <f t="shared" si="90"/>
        <v>31.958945865078476</v>
      </c>
      <c r="BW67" s="86">
        <f>10*LOG10(($O67+NseMeas!T_0+BV67)/($O67+NseMeas!T_0))</f>
        <v>0.18647543402094358</v>
      </c>
      <c r="BX67" s="175">
        <f>UseUserCal*X67*Calibration!AM67*nSD</f>
        <v>0</v>
      </c>
      <c r="BY67" s="86">
        <f>10*LOG10(($O67+NseMeas!T_0+BX67)/($O67+NseMeas!T_0))</f>
        <v>0</v>
      </c>
      <c r="BZ67" s="168">
        <f>UseUserCal*X67*Calibration!AP67*nSD</f>
        <v>0.45096991767149286</v>
      </c>
      <c r="CA67" s="86">
        <f>10*LOG10(($O67+NseMeas!T_0+BZ67)/($O67+NseMeas!T_0))</f>
        <v>2.6878157133072068E-3</v>
      </c>
      <c r="CB67" s="4">
        <f t="shared" si="91"/>
        <v>31.962127505434633</v>
      </c>
      <c r="CC67" s="86">
        <f>10*LOG10(($O67+NseMeas!T_0+CB67)/($O67+NseMeas!T_0))</f>
        <v>0.18649360544435875</v>
      </c>
    </row>
    <row r="68" spans="1:81">
      <c r="A68" s="4">
        <f t="shared" si="92"/>
        <v>26.500001000000001</v>
      </c>
      <c r="B68" s="164">
        <f>T_0*(1+10^('Meas. Noise Std'!AA69/10))</f>
        <v>1207.0605214488303</v>
      </c>
      <c r="C68" s="164">
        <f t="shared" si="49"/>
        <v>298</v>
      </c>
      <c r="D68" s="86">
        <f t="shared" si="50"/>
        <v>298</v>
      </c>
      <c r="E68" s="164">
        <f>IF(UsePreamp,T_0*(10^(Preamp!AE69/10)-1),0)</f>
        <v>627.06052144883006</v>
      </c>
      <c r="F68" s="164">
        <f>T_0*(10^((FieldFox!B68-kT0dB)/10)-1)</f>
        <v>45411.676407373438</v>
      </c>
      <c r="G68" s="86">
        <f>IF(UsePreamp,10^(Preamp!AD69/10),1)</f>
        <v>199.06734581632566</v>
      </c>
      <c r="H68" s="86">
        <f>T_0*(10^(DUT!AE69/10)-1)</f>
        <v>438.4470651377784</v>
      </c>
      <c r="I68" s="86">
        <f>10^(DUT!AD69/10)</f>
        <v>100</v>
      </c>
      <c r="J68" s="87">
        <f t="shared" si="51"/>
        <v>1.622883020530872E-6</v>
      </c>
      <c r="K68" s="87">
        <f t="shared" si="52"/>
        <v>7.3095684618375027E-7</v>
      </c>
      <c r="L68" s="87">
        <f t="shared" si="53"/>
        <v>2.2529120191543056E-9</v>
      </c>
      <c r="M68" s="87">
        <f>IF(UseUserCal,Calibration!M68,0)</f>
        <v>6.1524142648784919E-9</v>
      </c>
      <c r="N68" s="87">
        <f>IF(UseUserCal,Calibration!L68,1)</f>
        <v>199.06734581632574</v>
      </c>
      <c r="O68" s="165">
        <f t="shared" si="54"/>
        <v>438.44706513777868</v>
      </c>
      <c r="P68" s="86">
        <f t="shared" si="55"/>
        <v>99.999999999999943</v>
      </c>
      <c r="Q68" s="170">
        <f t="shared" si="56"/>
        <v>1.1843093476168496E-6</v>
      </c>
      <c r="R68" s="87">
        <f t="shared" si="57"/>
        <v>4.3018303428114972E-7</v>
      </c>
      <c r="S68" s="87">
        <f t="shared" si="58"/>
        <v>1844875354.154526</v>
      </c>
      <c r="T68" s="87">
        <f t="shared" si="59"/>
        <v>825664854.90636683</v>
      </c>
      <c r="U68" s="87">
        <f t="shared" si="60"/>
        <v>0.81010238367386822</v>
      </c>
      <c r="V68" s="87">
        <f t="shared" si="61"/>
        <v>-1.8101023836738681</v>
      </c>
      <c r="W68" s="87">
        <f t="shared" si="62"/>
        <v>5.023425594485369E-5</v>
      </c>
      <c r="X68" s="87">
        <f t="shared" si="63"/>
        <v>1019210499.2481589</v>
      </c>
      <c r="Y68" s="86">
        <f>FieldFox!AG68</f>
        <v>0.1</v>
      </c>
      <c r="Z68" s="86">
        <f>FieldFox!AF68</f>
        <v>0.1</v>
      </c>
      <c r="AA68" s="86">
        <f>FieldFox!AH68</f>
        <v>0.1</v>
      </c>
      <c r="AB68" s="87">
        <f t="shared" si="64"/>
        <v>1.3389238540091567E-3</v>
      </c>
      <c r="AC68" s="87">
        <f t="shared" si="65"/>
        <v>1.3389238540091567E-3</v>
      </c>
      <c r="AD68" s="87">
        <f t="shared" si="66"/>
        <v>1.3389238540091567E-3</v>
      </c>
      <c r="AE68" s="87">
        <f>DUT!AF69</f>
        <v>0.2</v>
      </c>
      <c r="AF68" s="4">
        <f t="shared" si="67"/>
        <v>0.40853898265363492</v>
      </c>
      <c r="AG68" s="4">
        <f>'Meas. Noise Std'!AC69</f>
        <v>0.1</v>
      </c>
      <c r="AH68" s="4">
        <f>'Meas. Noise Std'!AD69</f>
        <v>1</v>
      </c>
      <c r="AI68" s="4">
        <f>DUT!AH69</f>
        <v>0</v>
      </c>
      <c r="AJ68" s="166">
        <f t="shared" si="68"/>
        <v>1.6341559306145403E-2</v>
      </c>
      <c r="AK68" s="166">
        <f t="shared" si="69"/>
        <v>0</v>
      </c>
      <c r="AL68" s="163">
        <f t="shared" si="43"/>
        <v>1.6341559306145403E-2</v>
      </c>
      <c r="AM68" s="4">
        <f t="shared" si="70"/>
        <v>0</v>
      </c>
      <c r="AN68" s="4">
        <f>DUT!AG69</f>
        <v>0.31622776601683794</v>
      </c>
      <c r="AO68" s="4">
        <f>IF(AND(UsePreamp,UseUserCal),Preamp!AF69,0)</f>
        <v>0.3981071705534972</v>
      </c>
      <c r="AP68" s="4">
        <f t="shared" si="71"/>
        <v>0.40853898265363492</v>
      </c>
      <c r="AQ68" s="88">
        <f t="shared" si="72"/>
        <v>1.8055713134491684</v>
      </c>
      <c r="AR68" s="88">
        <f t="shared" si="73"/>
        <v>0</v>
      </c>
      <c r="AS68" s="88">
        <f t="shared" si="45"/>
        <v>1.8055713134491684</v>
      </c>
      <c r="AT68" s="88">
        <f t="shared" si="74"/>
        <v>1.794101024863485</v>
      </c>
      <c r="AU68" s="88">
        <f t="shared" si="75"/>
        <v>15.979472932539238</v>
      </c>
      <c r="AV68" s="88">
        <f t="shared" si="46"/>
        <v>16.079874181384952</v>
      </c>
      <c r="AW68" s="88">
        <f>X68*Calibration!AT68*UseUserCal</f>
        <v>0.22843099786841564</v>
      </c>
      <c r="AX68" s="88">
        <f t="shared" si="76"/>
        <v>3.0744256849308269E-3</v>
      </c>
      <c r="AY68" s="167">
        <f t="shared" si="47"/>
        <v>0.22845168609675937</v>
      </c>
      <c r="AZ68" s="88">
        <f>U68*B68*(10^('Meas. Noise Std'!AB69/(ENRconf*10))-1)</f>
        <v>11.322883725670046</v>
      </c>
      <c r="BA68" s="88">
        <f t="shared" si="77"/>
        <v>0</v>
      </c>
      <c r="BB68" s="88">
        <f t="shared" si="78"/>
        <v>0</v>
      </c>
      <c r="BC68" s="88">
        <f t="shared" si="48"/>
        <v>0</v>
      </c>
      <c r="BD68" s="88">
        <f t="shared" si="79"/>
        <v>19.750501955521155</v>
      </c>
      <c r="BE68" s="4">
        <f t="shared" si="80"/>
        <v>39.501003911042311</v>
      </c>
      <c r="BF68" s="4">
        <f t="shared" si="81"/>
        <v>0.22933854830366102</v>
      </c>
      <c r="BG68" s="88">
        <f t="shared" si="82"/>
        <v>477.94806904882097</v>
      </c>
      <c r="BH68" s="88">
        <f t="shared" si="83"/>
        <v>398.94606122673639</v>
      </c>
      <c r="BI68" s="86">
        <f t="shared" si="84"/>
        <v>5.0907349989800315</v>
      </c>
      <c r="BJ68" s="86">
        <f>10*LOG10(($O68+NseMeas!T_0+BI68)/($O68+NseMeas!T_0))</f>
        <v>3.0245006045761878E-2</v>
      </c>
      <c r="BK68" s="86">
        <f t="shared" si="85"/>
        <v>31.958945865078476</v>
      </c>
      <c r="BL68" s="86">
        <f>10*LOG10(($O68+NseMeas!T_0+BK68)/($O68+NseMeas!T_0))</f>
        <v>0.18647543402094358</v>
      </c>
      <c r="BM68" s="86">
        <f t="shared" si="86"/>
        <v>22.645767451340092</v>
      </c>
      <c r="BN68" s="86">
        <f>10*LOG10(($O68+NseMeas!T_0+BM68)/($O68+NseMeas!T_0))</f>
        <v>0.13295619783758311</v>
      </c>
      <c r="BO68" s="86">
        <f t="shared" si="87"/>
        <v>0.45686199573683128</v>
      </c>
      <c r="BP68" s="86">
        <f>10*LOG10(($O68+NseMeas!T_0+BO68)/($O68+NseMeas!T_0))</f>
        <v>2.7229219493682755E-3</v>
      </c>
      <c r="BQ68" s="86">
        <f t="shared" si="88"/>
        <v>0</v>
      </c>
      <c r="BR68" s="86">
        <f>10*LOG10(($O68+NseMeas!T_0+BQ68)/($O68+NseMeas!T_0))</f>
        <v>0</v>
      </c>
      <c r="BT68" s="86">
        <f t="shared" si="89"/>
        <v>0</v>
      </c>
      <c r="BU68" s="86">
        <f>10*LOG10(($O68+NseMeas!T_0+BT68)/($O68+NseMeas!T_0))</f>
        <v>0</v>
      </c>
      <c r="BV68" s="86">
        <f t="shared" si="90"/>
        <v>31.958945865078476</v>
      </c>
      <c r="BW68" s="86">
        <f>10*LOG10(($O68+NseMeas!T_0+BV68)/($O68+NseMeas!T_0))</f>
        <v>0.18647543402094358</v>
      </c>
      <c r="BX68" s="175">
        <f>UseUserCal*X68*Calibration!AM68*nSD</f>
        <v>0</v>
      </c>
      <c r="BY68" s="86">
        <f>10*LOG10(($O68+NseMeas!T_0+BX68)/($O68+NseMeas!T_0))</f>
        <v>0</v>
      </c>
      <c r="BZ68" s="168">
        <f>UseUserCal*X68*Calibration!AP68*nSD</f>
        <v>0.45096991767149286</v>
      </c>
      <c r="CA68" s="86">
        <f>10*LOG10(($O68+NseMeas!T_0+BZ68)/($O68+NseMeas!T_0))</f>
        <v>2.6878157133072068E-3</v>
      </c>
      <c r="CB68" s="4">
        <f t="shared" si="91"/>
        <v>31.962127505434633</v>
      </c>
      <c r="CC68" s="86">
        <f>10*LOG10(($O68+NseMeas!T_0+CB68)/($O68+NseMeas!T_0))</f>
        <v>0.18649360544435875</v>
      </c>
    </row>
    <row r="69" spans="1:81">
      <c r="A69" s="4">
        <f t="shared" si="92"/>
        <v>26.500001000000001</v>
      </c>
      <c r="B69" s="164">
        <f>T_0*(1+10^('Meas. Noise Std'!AA70/10))</f>
        <v>1207.0605214488303</v>
      </c>
      <c r="C69" s="164">
        <f t="shared" ref="C69:C100" si="93">MeasAmbient</f>
        <v>298</v>
      </c>
      <c r="D69" s="86">
        <f t="shared" ref="D69:D100" si="94">MeasAmbient+FFAmbientOffset</f>
        <v>298</v>
      </c>
      <c r="E69" s="164">
        <f>IF(UsePreamp,T_0*(10^(Preamp!AE70/10)-1),0)</f>
        <v>627.06052144883006</v>
      </c>
      <c r="F69" s="164">
        <f>T_0*(10^((FieldFox!B69-kT0dB)/10)-1)</f>
        <v>45411.676407373438</v>
      </c>
      <c r="G69" s="86">
        <f>IF(UsePreamp,10^(Preamp!AD70/10),1)</f>
        <v>199.06734581632566</v>
      </c>
      <c r="H69" s="86">
        <f>T_0*(10^(DUT!AE70/10)-1)</f>
        <v>438.4470651377784</v>
      </c>
      <c r="I69" s="86">
        <f>10^(DUT!AD70/10)</f>
        <v>100</v>
      </c>
      <c r="J69" s="87">
        <f t="shared" ref="J69:J100" si="95">(((B69+H69)*I69+E69)*G69+F69)*k_mw*$F$2</f>
        <v>1.622883020530872E-6</v>
      </c>
      <c r="K69" s="87">
        <f t="shared" ref="K69:K100" si="96">(((C69+H69)*I69+E69)*G69+F69)*k_mw*$F$2</f>
        <v>7.3095684618375027E-7</v>
      </c>
      <c r="L69" s="87">
        <f t="shared" ref="L69:L100" si="97">MIN(K69,(D69+F69)*k_mw*$F$2)</f>
        <v>2.2529120191543056E-9</v>
      </c>
      <c r="M69" s="87">
        <f>IF(UseUserCal,Calibration!M69,0)</f>
        <v>6.1524142648784919E-9</v>
      </c>
      <c r="N69" s="87">
        <f>IF(UseUserCal,Calibration!L69,1)</f>
        <v>199.06734581632574</v>
      </c>
      <c r="O69" s="165">
        <f t="shared" ref="O69:O100" si="98">(B69*K69-C69*J69-(B69-C69)*(M69+L69-C69*k_mw*$F$2))/(J69-K69)</f>
        <v>438.44706513777868</v>
      </c>
      <c r="P69" s="86">
        <f t="shared" ref="P69:P100" si="99">(J69-K69)/(B69-C69)/k_mw/$F$2/N69</f>
        <v>99.999999999999943</v>
      </c>
      <c r="Q69" s="170">
        <f t="shared" ref="Q69:Q100" si="100">B69*I69*G69*k_mw*BW</f>
        <v>1.1843093476168496E-6</v>
      </c>
      <c r="R69" s="87">
        <f t="shared" ref="R69:R100" si="101">H69*I69*G69*k_mw*BW</f>
        <v>4.3018303428114972E-7</v>
      </c>
      <c r="S69" s="87">
        <f t="shared" ref="S69:S100" si="102">(B69-C69)*(J69-M69-L69)/((J69-K69)^2)</f>
        <v>1844875354.154526</v>
      </c>
      <c r="T69" s="87">
        <f t="shared" ref="T69:T100" si="103">(B69-C69)*(K69-M69-L69)/((J69-K69)^2)</f>
        <v>825664854.90636683</v>
      </c>
      <c r="U69" s="87">
        <f t="shared" ref="U69:U100" si="104">(K69-(L69+M69))/(J69-K69)</f>
        <v>0.81010238367386822</v>
      </c>
      <c r="V69" s="87">
        <f t="shared" ref="V69:V100" si="105">(-J69+(L69+M69))/(J69-K69)</f>
        <v>-1.8101023836738681</v>
      </c>
      <c r="W69" s="87">
        <f t="shared" ref="W69:W100" si="106">(B69-C69)*k_mw*BW/(J69-K69)</f>
        <v>5.023425594485369E-5</v>
      </c>
      <c r="X69" s="87">
        <f t="shared" ref="X69:X100" si="107">(B69-C69)/(J69-K69)</f>
        <v>1019210499.2481589</v>
      </c>
      <c r="Y69" s="86">
        <f>FieldFox!AG69</f>
        <v>0.1</v>
      </c>
      <c r="Z69" s="86">
        <f>FieldFox!AF69</f>
        <v>0.1</v>
      </c>
      <c r="AA69" s="86">
        <f>FieldFox!AH69</f>
        <v>0.1</v>
      </c>
      <c r="AB69" s="87">
        <f t="shared" ref="AB69:AB100" si="108">Jitter1H1s/SQRT(BW*Y69)</f>
        <v>1.3389238540091567E-3</v>
      </c>
      <c r="AC69" s="87">
        <f t="shared" ref="AC69:AC100" si="109">Jitter1H1s/SQRT(BW*Z69)</f>
        <v>1.3389238540091567E-3</v>
      </c>
      <c r="AD69" s="87">
        <f t="shared" ref="AD69:AD100" si="110">Jitter1H1s/SQRT(BW*AA69)</f>
        <v>1.3389238540091567E-3</v>
      </c>
      <c r="AE69" s="87">
        <f>DUT!AF70</f>
        <v>0.2</v>
      </c>
      <c r="AF69" s="4">
        <f t="shared" ref="AF69:AF100" si="111">DutConf</f>
        <v>0.40853898265363492</v>
      </c>
      <c r="AG69" s="4">
        <f>'Meas. Noise Std'!AC70</f>
        <v>0.1</v>
      </c>
      <c r="AH69" s="4">
        <f>'Meas. Noise Std'!AD70</f>
        <v>1</v>
      </c>
      <c r="AI69" s="4">
        <f>DUT!AH70</f>
        <v>0</v>
      </c>
      <c r="AJ69" s="166">
        <f t="shared" ref="AJ69:AJ100" si="112">2*SQRT(2)*AE69*AF69*AG69*NseSrcConf</f>
        <v>1.6341559306145403E-2</v>
      </c>
      <c r="AK69" s="166">
        <f t="shared" ref="AK69:AK100" si="113">2*SQRT(2)*AG69*NseSrcConf*AI69*AF69</f>
        <v>0</v>
      </c>
      <c r="AL69" s="163">
        <f t="shared" si="43"/>
        <v>1.6341559306145403E-2</v>
      </c>
      <c r="AM69" s="4">
        <f t="shared" ref="AM69:AM100" si="114">2*SQRT(2)*AF69*AH69*AI69*NseSrcConf</f>
        <v>0</v>
      </c>
      <c r="AN69" s="4">
        <f>DUT!AG70</f>
        <v>0.31622776601683794</v>
      </c>
      <c r="AO69" s="4">
        <f>IF(AND(UsePreamp,UseUserCal),Preamp!AF70,0)</f>
        <v>0.3981071705534972</v>
      </c>
      <c r="AP69" s="4">
        <f t="shared" ref="AP69:AP100" si="115">PreampGamConf</f>
        <v>0.40853898265363492</v>
      </c>
      <c r="AQ69" s="88">
        <f t="shared" ref="AQ69:AQ100" si="116">AB69*K69*S69</f>
        <v>1.8055713134491684</v>
      </c>
      <c r="AR69" s="88">
        <f t="shared" ref="AR69:AR100" si="117">AM69*R69*S69</f>
        <v>0</v>
      </c>
      <c r="AS69" s="88">
        <f t="shared" si="45"/>
        <v>1.8055713134491684</v>
      </c>
      <c r="AT69" s="88">
        <f t="shared" ref="AT69:AT100" si="118">AC69*J69*T69</f>
        <v>1.794101024863485</v>
      </c>
      <c r="AU69" s="88">
        <f t="shared" ref="AU69:AU100" si="119">AL69*Q69*T69</f>
        <v>15.979472932539238</v>
      </c>
      <c r="AV69" s="88">
        <f t="shared" si="46"/>
        <v>16.079874181384952</v>
      </c>
      <c r="AW69" s="88">
        <f>X69*Calibration!AT69*UseUserCal</f>
        <v>0.22843099786841564</v>
      </c>
      <c r="AX69" s="88">
        <f t="shared" ref="AX69:AX100" si="120">X69*AD69*L69</f>
        <v>3.0744256849308269E-3</v>
      </c>
      <c r="AY69" s="167">
        <f t="shared" si="47"/>
        <v>0.22845168609675937</v>
      </c>
      <c r="AZ69" s="88">
        <f>U69*B69*(10^('Meas. Noise Std'!AB70/(ENRconf*10))-1)</f>
        <v>11.322883725670046</v>
      </c>
      <c r="BA69" s="88">
        <f t="shared" ref="BA69:BA100" si="121">TambientDrift*V69</f>
        <v>0</v>
      </c>
      <c r="BB69" s="88">
        <f t="shared" ref="BB69:BB100" si="122">TffDelta*W69</f>
        <v>0</v>
      </c>
      <c r="BC69" s="88">
        <f t="shared" si="48"/>
        <v>0</v>
      </c>
      <c r="BD69" s="88">
        <f t="shared" ref="BD69:BD100" si="123">SQRT((AS69)^2+(AV69)^2+(AZ69)^2+(AY69)^2+BC69^2)</f>
        <v>19.750501955521155</v>
      </c>
      <c r="BE69" s="4">
        <f t="shared" ref="BE69:BE100" si="124">BD69*nSD</f>
        <v>39.501003911042311</v>
      </c>
      <c r="BF69" s="4">
        <f t="shared" ref="BF69:BF100" si="125">10*LOG10((H69+T_0+BE69)/(H69+T_0))</f>
        <v>0.22933854830366102</v>
      </c>
      <c r="BG69" s="88">
        <f t="shared" ref="BG69:BG100" si="126">O69+BE69</f>
        <v>477.94806904882097</v>
      </c>
      <c r="BH69" s="88">
        <f t="shared" ref="BH69:BH100" si="127">MAX(-289,O69-BE69)</f>
        <v>398.94606122673639</v>
      </c>
      <c r="BI69" s="86">
        <f t="shared" ref="BI69:BI100" si="128">SQRT(AX69^2+AT69^2+AQ69^2)*nSD</f>
        <v>5.0907349989800315</v>
      </c>
      <c r="BJ69" s="86">
        <f>10*LOG10(($O69+NseMeas!T_0+BI69)/($O69+NseMeas!T_0))</f>
        <v>3.0245006045761878E-2</v>
      </c>
      <c r="BK69" s="86">
        <f t="shared" ref="BK69:BK100" si="129">SQRT(AR69^2+AU69^2)*nSD</f>
        <v>31.958945865078476</v>
      </c>
      <c r="BL69" s="86">
        <f>10*LOG10(($O69+NseMeas!T_0+BK69)/($O69+NseMeas!T_0))</f>
        <v>0.18647543402094358</v>
      </c>
      <c r="BM69" s="86">
        <f t="shared" ref="BM69:BM100" si="130">AZ69*nSD</f>
        <v>22.645767451340092</v>
      </c>
      <c r="BN69" s="86">
        <f>10*LOG10(($O69+NseMeas!T_0+BM69)/($O69+NseMeas!T_0))</f>
        <v>0.13295619783758311</v>
      </c>
      <c r="BO69" s="86">
        <f t="shared" ref="BO69:BO100" si="131">AW69*nSD</f>
        <v>0.45686199573683128</v>
      </c>
      <c r="BP69" s="86">
        <f>10*LOG10(($O69+NseMeas!T_0+BO69)/($O69+NseMeas!T_0))</f>
        <v>2.7229219493682755E-3</v>
      </c>
      <c r="BQ69" s="86">
        <f t="shared" ref="BQ69:BQ100" si="132">BC69*nSD</f>
        <v>0</v>
      </c>
      <c r="BR69" s="86">
        <f>10*LOG10(($O69+NseMeas!T_0+BQ69)/($O69+NseMeas!T_0))</f>
        <v>0</v>
      </c>
      <c r="BT69" s="86">
        <f t="shared" ref="BT69:BT100" si="133">AR69*nSD</f>
        <v>0</v>
      </c>
      <c r="BU69" s="86">
        <f>10*LOG10(($O69+NseMeas!T_0+BT69)/($O69+NseMeas!T_0))</f>
        <v>0</v>
      </c>
      <c r="BV69" s="86">
        <f t="shared" ref="BV69:BV100" si="134">AU69*nSD</f>
        <v>31.958945865078476</v>
      </c>
      <c r="BW69" s="86">
        <f>10*LOG10(($O69+NseMeas!T_0+BV69)/($O69+NseMeas!T_0))</f>
        <v>0.18647543402094358</v>
      </c>
      <c r="BX69" s="175">
        <f>UseUserCal*X69*Calibration!AM69*nSD</f>
        <v>0</v>
      </c>
      <c r="BY69" s="86">
        <f>10*LOG10(($O69+NseMeas!T_0+BX69)/($O69+NseMeas!T_0))</f>
        <v>0</v>
      </c>
      <c r="BZ69" s="168">
        <f>UseUserCal*X69*Calibration!AP69*nSD</f>
        <v>0.45096991767149286</v>
      </c>
      <c r="CA69" s="86">
        <f>10*LOG10(($O69+NseMeas!T_0+BZ69)/($O69+NseMeas!T_0))</f>
        <v>2.6878157133072068E-3</v>
      </c>
      <c r="CB69" s="4">
        <f t="shared" ref="CB69:CB100" si="135">SQRT(BT69^2+BV69^2+BX69^2+BZ69^2)</f>
        <v>31.962127505434633</v>
      </c>
      <c r="CC69" s="86">
        <f>10*LOG10(($O69+NseMeas!T_0+CB69)/($O69+NseMeas!T_0))</f>
        <v>0.18649360544435875</v>
      </c>
    </row>
    <row r="70" spans="1:81">
      <c r="A70" s="4">
        <f t="shared" ref="A70:A106" si="136">MIN(StopFreqGHz+0.000001,A69+FreqStep)</f>
        <v>26.500001000000001</v>
      </c>
      <c r="B70" s="164">
        <f>T_0*(1+10^('Meas. Noise Std'!AA71/10))</f>
        <v>1207.0605214488303</v>
      </c>
      <c r="C70" s="164">
        <f t="shared" si="93"/>
        <v>298</v>
      </c>
      <c r="D70" s="86">
        <f t="shared" si="94"/>
        <v>298</v>
      </c>
      <c r="E70" s="164">
        <f>IF(UsePreamp,T_0*(10^(Preamp!AE71/10)-1),0)</f>
        <v>627.06052144883006</v>
      </c>
      <c r="F70" s="164">
        <f>T_0*(10^((FieldFox!B70-kT0dB)/10)-1)</f>
        <v>45411.676407373438</v>
      </c>
      <c r="G70" s="86">
        <f>IF(UsePreamp,10^(Preamp!AD71/10),1)</f>
        <v>199.06734581632566</v>
      </c>
      <c r="H70" s="86">
        <f>T_0*(10^(DUT!AE71/10)-1)</f>
        <v>438.4470651377784</v>
      </c>
      <c r="I70" s="86">
        <f>10^(DUT!AD71/10)</f>
        <v>100</v>
      </c>
      <c r="J70" s="87">
        <f t="shared" si="95"/>
        <v>1.622883020530872E-6</v>
      </c>
      <c r="K70" s="87">
        <f t="shared" si="96"/>
        <v>7.3095684618375027E-7</v>
      </c>
      <c r="L70" s="87">
        <f t="shared" si="97"/>
        <v>2.2529120191543056E-9</v>
      </c>
      <c r="M70" s="87">
        <f>IF(UseUserCal,Calibration!M70,0)</f>
        <v>6.1524142648784919E-9</v>
      </c>
      <c r="N70" s="87">
        <f>IF(UseUserCal,Calibration!L70,1)</f>
        <v>199.06734581632574</v>
      </c>
      <c r="O70" s="165">
        <f t="shared" si="98"/>
        <v>438.44706513777868</v>
      </c>
      <c r="P70" s="86">
        <f t="shared" si="99"/>
        <v>99.999999999999943</v>
      </c>
      <c r="Q70" s="170">
        <f t="shared" si="100"/>
        <v>1.1843093476168496E-6</v>
      </c>
      <c r="R70" s="87">
        <f t="shared" si="101"/>
        <v>4.3018303428114972E-7</v>
      </c>
      <c r="S70" s="87">
        <f t="shared" si="102"/>
        <v>1844875354.154526</v>
      </c>
      <c r="T70" s="87">
        <f t="shared" si="103"/>
        <v>825664854.90636683</v>
      </c>
      <c r="U70" s="87">
        <f t="shared" si="104"/>
        <v>0.81010238367386822</v>
      </c>
      <c r="V70" s="87">
        <f t="shared" si="105"/>
        <v>-1.8101023836738681</v>
      </c>
      <c r="W70" s="87">
        <f t="shared" si="106"/>
        <v>5.023425594485369E-5</v>
      </c>
      <c r="X70" s="87">
        <f t="shared" si="107"/>
        <v>1019210499.2481589</v>
      </c>
      <c r="Y70" s="86">
        <f>FieldFox!AG70</f>
        <v>0.1</v>
      </c>
      <c r="Z70" s="86">
        <f>FieldFox!AF70</f>
        <v>0.1</v>
      </c>
      <c r="AA70" s="86">
        <f>FieldFox!AH70</f>
        <v>0.1</v>
      </c>
      <c r="AB70" s="87">
        <f t="shared" si="108"/>
        <v>1.3389238540091567E-3</v>
      </c>
      <c r="AC70" s="87">
        <f t="shared" si="109"/>
        <v>1.3389238540091567E-3</v>
      </c>
      <c r="AD70" s="87">
        <f t="shared" si="110"/>
        <v>1.3389238540091567E-3</v>
      </c>
      <c r="AE70" s="87">
        <f>DUT!AF71</f>
        <v>0.2</v>
      </c>
      <c r="AF70" s="4">
        <f t="shared" si="111"/>
        <v>0.40853898265363492</v>
      </c>
      <c r="AG70" s="4">
        <f>'Meas. Noise Std'!AC71</f>
        <v>0.1</v>
      </c>
      <c r="AH70" s="4">
        <f>'Meas. Noise Std'!AD71</f>
        <v>1</v>
      </c>
      <c r="AI70" s="4">
        <f>DUT!AH71</f>
        <v>0</v>
      </c>
      <c r="AJ70" s="166">
        <f t="shared" si="112"/>
        <v>1.6341559306145403E-2</v>
      </c>
      <c r="AK70" s="166">
        <f t="shared" si="113"/>
        <v>0</v>
      </c>
      <c r="AL70" s="163">
        <f t="shared" ref="AL70:AL106" si="137">SQRT(AJ70^2+AK70^2)</f>
        <v>1.6341559306145403E-2</v>
      </c>
      <c r="AM70" s="4">
        <f t="shared" si="114"/>
        <v>0</v>
      </c>
      <c r="AN70" s="4">
        <f>DUT!AG71</f>
        <v>0.31622776601683794</v>
      </c>
      <c r="AO70" s="4">
        <f>IF(AND(UsePreamp,UseUserCal),Preamp!AF71,0)</f>
        <v>0.3981071705534972</v>
      </c>
      <c r="AP70" s="4">
        <f t="shared" si="115"/>
        <v>0.40853898265363492</v>
      </c>
      <c r="AQ70" s="88">
        <f t="shared" si="116"/>
        <v>1.8055713134491684</v>
      </c>
      <c r="AR70" s="88">
        <f t="shared" si="117"/>
        <v>0</v>
      </c>
      <c r="AS70" s="88">
        <f t="shared" ref="AS70:AS106" si="138">SQRT(AQ70^2+AR70^2)</f>
        <v>1.8055713134491684</v>
      </c>
      <c r="AT70" s="88">
        <f t="shared" si="118"/>
        <v>1.794101024863485</v>
      </c>
      <c r="AU70" s="88">
        <f t="shared" si="119"/>
        <v>15.979472932539238</v>
      </c>
      <c r="AV70" s="88">
        <f t="shared" ref="AV70:AV106" si="139">SQRT(AT70^2+AU70^2)</f>
        <v>16.079874181384952</v>
      </c>
      <c r="AW70" s="88">
        <f>X70*Calibration!AT70*UseUserCal</f>
        <v>0.22843099786841564</v>
      </c>
      <c r="AX70" s="88">
        <f t="shared" si="120"/>
        <v>3.0744256849308269E-3</v>
      </c>
      <c r="AY70" s="167">
        <f t="shared" ref="AY70:AY106" si="140">SQRT((AW70)^2+(AX70)^2)</f>
        <v>0.22845168609675937</v>
      </c>
      <c r="AZ70" s="88">
        <f>U70*B70*(10^('Meas. Noise Std'!AB71/(ENRconf*10))-1)</f>
        <v>11.322883725670046</v>
      </c>
      <c r="BA70" s="88">
        <f t="shared" si="121"/>
        <v>0</v>
      </c>
      <c r="BB70" s="88">
        <f t="shared" si="122"/>
        <v>0</v>
      </c>
      <c r="BC70" s="88">
        <f t="shared" ref="BC70:BC106" si="141">SQRT(BA70^2+BB70^2)</f>
        <v>0</v>
      </c>
      <c r="BD70" s="88">
        <f t="shared" si="123"/>
        <v>19.750501955521155</v>
      </c>
      <c r="BE70" s="4">
        <f t="shared" si="124"/>
        <v>39.501003911042311</v>
      </c>
      <c r="BF70" s="4">
        <f t="shared" si="125"/>
        <v>0.22933854830366102</v>
      </c>
      <c r="BG70" s="88">
        <f t="shared" si="126"/>
        <v>477.94806904882097</v>
      </c>
      <c r="BH70" s="88">
        <f t="shared" si="127"/>
        <v>398.94606122673639</v>
      </c>
      <c r="BI70" s="86">
        <f t="shared" si="128"/>
        <v>5.0907349989800315</v>
      </c>
      <c r="BJ70" s="86">
        <f>10*LOG10(($O70+NseMeas!T_0+BI70)/($O70+NseMeas!T_0))</f>
        <v>3.0245006045761878E-2</v>
      </c>
      <c r="BK70" s="86">
        <f t="shared" si="129"/>
        <v>31.958945865078476</v>
      </c>
      <c r="BL70" s="86">
        <f>10*LOG10(($O70+NseMeas!T_0+BK70)/($O70+NseMeas!T_0))</f>
        <v>0.18647543402094358</v>
      </c>
      <c r="BM70" s="86">
        <f t="shared" si="130"/>
        <v>22.645767451340092</v>
      </c>
      <c r="BN70" s="86">
        <f>10*LOG10(($O70+NseMeas!T_0+BM70)/($O70+NseMeas!T_0))</f>
        <v>0.13295619783758311</v>
      </c>
      <c r="BO70" s="86">
        <f t="shared" si="131"/>
        <v>0.45686199573683128</v>
      </c>
      <c r="BP70" s="86">
        <f>10*LOG10(($O70+NseMeas!T_0+BO70)/($O70+NseMeas!T_0))</f>
        <v>2.7229219493682755E-3</v>
      </c>
      <c r="BQ70" s="86">
        <f t="shared" si="132"/>
        <v>0</v>
      </c>
      <c r="BR70" s="86">
        <f>10*LOG10(($O70+NseMeas!T_0+BQ70)/($O70+NseMeas!T_0))</f>
        <v>0</v>
      </c>
      <c r="BT70" s="86">
        <f t="shared" si="133"/>
        <v>0</v>
      </c>
      <c r="BU70" s="86">
        <f>10*LOG10(($O70+NseMeas!T_0+BT70)/($O70+NseMeas!T_0))</f>
        <v>0</v>
      </c>
      <c r="BV70" s="86">
        <f t="shared" si="134"/>
        <v>31.958945865078476</v>
      </c>
      <c r="BW70" s="86">
        <f>10*LOG10(($O70+NseMeas!T_0+BV70)/($O70+NseMeas!T_0))</f>
        <v>0.18647543402094358</v>
      </c>
      <c r="BX70" s="175">
        <f>UseUserCal*X70*Calibration!AM70*nSD</f>
        <v>0</v>
      </c>
      <c r="BY70" s="86">
        <f>10*LOG10(($O70+NseMeas!T_0+BX70)/($O70+NseMeas!T_0))</f>
        <v>0</v>
      </c>
      <c r="BZ70" s="168">
        <f>UseUserCal*X70*Calibration!AP70*nSD</f>
        <v>0.45096991767149286</v>
      </c>
      <c r="CA70" s="86">
        <f>10*LOG10(($O70+NseMeas!T_0+BZ70)/($O70+NseMeas!T_0))</f>
        <v>2.6878157133072068E-3</v>
      </c>
      <c r="CB70" s="4">
        <f t="shared" si="135"/>
        <v>31.962127505434633</v>
      </c>
      <c r="CC70" s="86">
        <f>10*LOG10(($O70+NseMeas!T_0+CB70)/($O70+NseMeas!T_0))</f>
        <v>0.18649360544435875</v>
      </c>
    </row>
    <row r="71" spans="1:81">
      <c r="A71" s="4">
        <f t="shared" si="136"/>
        <v>26.500001000000001</v>
      </c>
      <c r="B71" s="164">
        <f>T_0*(1+10^('Meas. Noise Std'!AA72/10))</f>
        <v>1207.0605214488303</v>
      </c>
      <c r="C71" s="164">
        <f t="shared" si="93"/>
        <v>298</v>
      </c>
      <c r="D71" s="86">
        <f t="shared" si="94"/>
        <v>298</v>
      </c>
      <c r="E71" s="164">
        <f>IF(UsePreamp,T_0*(10^(Preamp!AE72/10)-1),0)</f>
        <v>627.06052144883006</v>
      </c>
      <c r="F71" s="164">
        <f>T_0*(10^((FieldFox!B71-kT0dB)/10)-1)</f>
        <v>45411.676407373438</v>
      </c>
      <c r="G71" s="86">
        <f>IF(UsePreamp,10^(Preamp!AD72/10),1)</f>
        <v>199.06734581632566</v>
      </c>
      <c r="H71" s="86">
        <f>T_0*(10^(DUT!AE72/10)-1)</f>
        <v>438.4470651377784</v>
      </c>
      <c r="I71" s="86">
        <f>10^(DUT!AD72/10)</f>
        <v>100</v>
      </c>
      <c r="J71" s="87">
        <f t="shared" si="95"/>
        <v>1.622883020530872E-6</v>
      </c>
      <c r="K71" s="87">
        <f t="shared" si="96"/>
        <v>7.3095684618375027E-7</v>
      </c>
      <c r="L71" s="87">
        <f t="shared" si="97"/>
        <v>2.2529120191543056E-9</v>
      </c>
      <c r="M71" s="87">
        <f>IF(UseUserCal,Calibration!M71,0)</f>
        <v>6.1524142648784919E-9</v>
      </c>
      <c r="N71" s="87">
        <f>IF(UseUserCal,Calibration!L71,1)</f>
        <v>199.06734581632574</v>
      </c>
      <c r="O71" s="165">
        <f t="shared" si="98"/>
        <v>438.44706513777868</v>
      </c>
      <c r="P71" s="86">
        <f t="shared" si="99"/>
        <v>99.999999999999943</v>
      </c>
      <c r="Q71" s="170">
        <f t="shared" si="100"/>
        <v>1.1843093476168496E-6</v>
      </c>
      <c r="R71" s="87">
        <f t="shared" si="101"/>
        <v>4.3018303428114972E-7</v>
      </c>
      <c r="S71" s="87">
        <f t="shared" si="102"/>
        <v>1844875354.154526</v>
      </c>
      <c r="T71" s="87">
        <f t="shared" si="103"/>
        <v>825664854.90636683</v>
      </c>
      <c r="U71" s="87">
        <f t="shared" si="104"/>
        <v>0.81010238367386822</v>
      </c>
      <c r="V71" s="87">
        <f t="shared" si="105"/>
        <v>-1.8101023836738681</v>
      </c>
      <c r="W71" s="87">
        <f t="shared" si="106"/>
        <v>5.023425594485369E-5</v>
      </c>
      <c r="X71" s="87">
        <f t="shared" si="107"/>
        <v>1019210499.2481589</v>
      </c>
      <c r="Y71" s="86">
        <f>FieldFox!AG71</f>
        <v>0.1</v>
      </c>
      <c r="Z71" s="86">
        <f>FieldFox!AF71</f>
        <v>0.1</v>
      </c>
      <c r="AA71" s="86">
        <f>FieldFox!AH71</f>
        <v>0.1</v>
      </c>
      <c r="AB71" s="87">
        <f t="shared" si="108"/>
        <v>1.3389238540091567E-3</v>
      </c>
      <c r="AC71" s="87">
        <f t="shared" si="109"/>
        <v>1.3389238540091567E-3</v>
      </c>
      <c r="AD71" s="87">
        <f t="shared" si="110"/>
        <v>1.3389238540091567E-3</v>
      </c>
      <c r="AE71" s="87">
        <f>DUT!AF72</f>
        <v>0.2</v>
      </c>
      <c r="AF71" s="4">
        <f t="shared" si="111"/>
        <v>0.40853898265363492</v>
      </c>
      <c r="AG71" s="4">
        <f>'Meas. Noise Std'!AC72</f>
        <v>0.1</v>
      </c>
      <c r="AH71" s="4">
        <f>'Meas. Noise Std'!AD72</f>
        <v>1</v>
      </c>
      <c r="AI71" s="4">
        <f>DUT!AH72</f>
        <v>0</v>
      </c>
      <c r="AJ71" s="166">
        <f t="shared" si="112"/>
        <v>1.6341559306145403E-2</v>
      </c>
      <c r="AK71" s="166">
        <f t="shared" si="113"/>
        <v>0</v>
      </c>
      <c r="AL71" s="163">
        <f t="shared" si="137"/>
        <v>1.6341559306145403E-2</v>
      </c>
      <c r="AM71" s="4">
        <f t="shared" si="114"/>
        <v>0</v>
      </c>
      <c r="AN71" s="4">
        <f>DUT!AG72</f>
        <v>0.31622776601683794</v>
      </c>
      <c r="AO71" s="4">
        <f>IF(AND(UsePreamp,UseUserCal),Preamp!AF72,0)</f>
        <v>0.3981071705534972</v>
      </c>
      <c r="AP71" s="4">
        <f t="shared" si="115"/>
        <v>0.40853898265363492</v>
      </c>
      <c r="AQ71" s="88">
        <f t="shared" si="116"/>
        <v>1.8055713134491684</v>
      </c>
      <c r="AR71" s="88">
        <f t="shared" si="117"/>
        <v>0</v>
      </c>
      <c r="AS71" s="88">
        <f t="shared" si="138"/>
        <v>1.8055713134491684</v>
      </c>
      <c r="AT71" s="88">
        <f t="shared" si="118"/>
        <v>1.794101024863485</v>
      </c>
      <c r="AU71" s="88">
        <f t="shared" si="119"/>
        <v>15.979472932539238</v>
      </c>
      <c r="AV71" s="88">
        <f t="shared" si="139"/>
        <v>16.079874181384952</v>
      </c>
      <c r="AW71" s="88">
        <f>X71*Calibration!AT71*UseUserCal</f>
        <v>0.22843099786841564</v>
      </c>
      <c r="AX71" s="88">
        <f t="shared" si="120"/>
        <v>3.0744256849308269E-3</v>
      </c>
      <c r="AY71" s="167">
        <f t="shared" si="140"/>
        <v>0.22845168609675937</v>
      </c>
      <c r="AZ71" s="88">
        <f>U71*B71*(10^('Meas. Noise Std'!AB72/(ENRconf*10))-1)</f>
        <v>11.322883725670046</v>
      </c>
      <c r="BA71" s="88">
        <f t="shared" si="121"/>
        <v>0</v>
      </c>
      <c r="BB71" s="88">
        <f t="shared" si="122"/>
        <v>0</v>
      </c>
      <c r="BC71" s="88">
        <f t="shared" si="141"/>
        <v>0</v>
      </c>
      <c r="BD71" s="88">
        <f t="shared" si="123"/>
        <v>19.750501955521155</v>
      </c>
      <c r="BE71" s="4">
        <f t="shared" si="124"/>
        <v>39.501003911042311</v>
      </c>
      <c r="BF71" s="4">
        <f t="shared" si="125"/>
        <v>0.22933854830366102</v>
      </c>
      <c r="BG71" s="88">
        <f t="shared" si="126"/>
        <v>477.94806904882097</v>
      </c>
      <c r="BH71" s="88">
        <f t="shared" si="127"/>
        <v>398.94606122673639</v>
      </c>
      <c r="BI71" s="86">
        <f t="shared" si="128"/>
        <v>5.0907349989800315</v>
      </c>
      <c r="BJ71" s="86">
        <f>10*LOG10(($O71+NseMeas!T_0+BI71)/($O71+NseMeas!T_0))</f>
        <v>3.0245006045761878E-2</v>
      </c>
      <c r="BK71" s="86">
        <f t="shared" si="129"/>
        <v>31.958945865078476</v>
      </c>
      <c r="BL71" s="86">
        <f>10*LOG10(($O71+NseMeas!T_0+BK71)/($O71+NseMeas!T_0))</f>
        <v>0.18647543402094358</v>
      </c>
      <c r="BM71" s="86">
        <f t="shared" si="130"/>
        <v>22.645767451340092</v>
      </c>
      <c r="BN71" s="86">
        <f>10*LOG10(($O71+NseMeas!T_0+BM71)/($O71+NseMeas!T_0))</f>
        <v>0.13295619783758311</v>
      </c>
      <c r="BO71" s="86">
        <f t="shared" si="131"/>
        <v>0.45686199573683128</v>
      </c>
      <c r="BP71" s="86">
        <f>10*LOG10(($O71+NseMeas!T_0+BO71)/($O71+NseMeas!T_0))</f>
        <v>2.7229219493682755E-3</v>
      </c>
      <c r="BQ71" s="86">
        <f t="shared" si="132"/>
        <v>0</v>
      </c>
      <c r="BR71" s="86">
        <f>10*LOG10(($O71+NseMeas!T_0+BQ71)/($O71+NseMeas!T_0))</f>
        <v>0</v>
      </c>
      <c r="BT71" s="86">
        <f t="shared" si="133"/>
        <v>0</v>
      </c>
      <c r="BU71" s="86">
        <f>10*LOG10(($O71+NseMeas!T_0+BT71)/($O71+NseMeas!T_0))</f>
        <v>0</v>
      </c>
      <c r="BV71" s="86">
        <f t="shared" si="134"/>
        <v>31.958945865078476</v>
      </c>
      <c r="BW71" s="86">
        <f>10*LOG10(($O71+NseMeas!T_0+BV71)/($O71+NseMeas!T_0))</f>
        <v>0.18647543402094358</v>
      </c>
      <c r="BX71" s="175">
        <f>UseUserCal*X71*Calibration!AM71*nSD</f>
        <v>0</v>
      </c>
      <c r="BY71" s="86">
        <f>10*LOG10(($O71+NseMeas!T_0+BX71)/($O71+NseMeas!T_0))</f>
        <v>0</v>
      </c>
      <c r="BZ71" s="168">
        <f>UseUserCal*X71*Calibration!AP71*nSD</f>
        <v>0.45096991767149286</v>
      </c>
      <c r="CA71" s="86">
        <f>10*LOG10(($O71+NseMeas!T_0+BZ71)/($O71+NseMeas!T_0))</f>
        <v>2.6878157133072068E-3</v>
      </c>
      <c r="CB71" s="4">
        <f t="shared" si="135"/>
        <v>31.962127505434633</v>
      </c>
      <c r="CC71" s="86">
        <f>10*LOG10(($O71+NseMeas!T_0+CB71)/($O71+NseMeas!T_0))</f>
        <v>0.18649360544435875</v>
      </c>
    </row>
    <row r="72" spans="1:81">
      <c r="A72" s="4">
        <f t="shared" si="136"/>
        <v>26.500001000000001</v>
      </c>
      <c r="B72" s="164">
        <f>T_0*(1+10^('Meas. Noise Std'!AA73/10))</f>
        <v>1207.0605214488303</v>
      </c>
      <c r="C72" s="164">
        <f t="shared" si="93"/>
        <v>298</v>
      </c>
      <c r="D72" s="86">
        <f t="shared" si="94"/>
        <v>298</v>
      </c>
      <c r="E72" s="164">
        <f>IF(UsePreamp,T_0*(10^(Preamp!AE73/10)-1),0)</f>
        <v>627.06052144883006</v>
      </c>
      <c r="F72" s="164">
        <f>T_0*(10^((FieldFox!B72-kT0dB)/10)-1)</f>
        <v>45411.676407373438</v>
      </c>
      <c r="G72" s="86">
        <f>IF(UsePreamp,10^(Preamp!AD73/10),1)</f>
        <v>199.06734581632566</v>
      </c>
      <c r="H72" s="86">
        <f>T_0*(10^(DUT!AE73/10)-1)</f>
        <v>438.4470651377784</v>
      </c>
      <c r="I72" s="86">
        <f>10^(DUT!AD73/10)</f>
        <v>100</v>
      </c>
      <c r="J72" s="87">
        <f t="shared" si="95"/>
        <v>1.622883020530872E-6</v>
      </c>
      <c r="K72" s="87">
        <f t="shared" si="96"/>
        <v>7.3095684618375027E-7</v>
      </c>
      <c r="L72" s="87">
        <f t="shared" si="97"/>
        <v>2.2529120191543056E-9</v>
      </c>
      <c r="M72" s="87">
        <f>IF(UseUserCal,Calibration!M72,0)</f>
        <v>6.1524142648784919E-9</v>
      </c>
      <c r="N72" s="87">
        <f>IF(UseUserCal,Calibration!L72,1)</f>
        <v>199.06734581632574</v>
      </c>
      <c r="O72" s="165">
        <f t="shared" si="98"/>
        <v>438.44706513777868</v>
      </c>
      <c r="P72" s="86">
        <f t="shared" si="99"/>
        <v>99.999999999999943</v>
      </c>
      <c r="Q72" s="170">
        <f t="shared" si="100"/>
        <v>1.1843093476168496E-6</v>
      </c>
      <c r="R72" s="87">
        <f t="shared" si="101"/>
        <v>4.3018303428114972E-7</v>
      </c>
      <c r="S72" s="87">
        <f t="shared" si="102"/>
        <v>1844875354.154526</v>
      </c>
      <c r="T72" s="87">
        <f t="shared" si="103"/>
        <v>825664854.90636683</v>
      </c>
      <c r="U72" s="87">
        <f t="shared" si="104"/>
        <v>0.81010238367386822</v>
      </c>
      <c r="V72" s="87">
        <f t="shared" si="105"/>
        <v>-1.8101023836738681</v>
      </c>
      <c r="W72" s="87">
        <f t="shared" si="106"/>
        <v>5.023425594485369E-5</v>
      </c>
      <c r="X72" s="87">
        <f t="shared" si="107"/>
        <v>1019210499.2481589</v>
      </c>
      <c r="Y72" s="86">
        <f>FieldFox!AG72</f>
        <v>0.1</v>
      </c>
      <c r="Z72" s="86">
        <f>FieldFox!AF72</f>
        <v>0.1</v>
      </c>
      <c r="AA72" s="86">
        <f>FieldFox!AH72</f>
        <v>0.1</v>
      </c>
      <c r="AB72" s="87">
        <f t="shared" si="108"/>
        <v>1.3389238540091567E-3</v>
      </c>
      <c r="AC72" s="87">
        <f t="shared" si="109"/>
        <v>1.3389238540091567E-3</v>
      </c>
      <c r="AD72" s="87">
        <f t="shared" si="110"/>
        <v>1.3389238540091567E-3</v>
      </c>
      <c r="AE72" s="87">
        <f>DUT!AF73</f>
        <v>0.2</v>
      </c>
      <c r="AF72" s="4">
        <f t="shared" si="111"/>
        <v>0.40853898265363492</v>
      </c>
      <c r="AG72" s="4">
        <f>'Meas. Noise Std'!AC73</f>
        <v>0.1</v>
      </c>
      <c r="AH72" s="4">
        <f>'Meas. Noise Std'!AD73</f>
        <v>1</v>
      </c>
      <c r="AI72" s="4">
        <f>DUT!AH73</f>
        <v>0</v>
      </c>
      <c r="AJ72" s="166">
        <f t="shared" si="112"/>
        <v>1.6341559306145403E-2</v>
      </c>
      <c r="AK72" s="166">
        <f t="shared" si="113"/>
        <v>0</v>
      </c>
      <c r="AL72" s="163">
        <f t="shared" si="137"/>
        <v>1.6341559306145403E-2</v>
      </c>
      <c r="AM72" s="4">
        <f t="shared" si="114"/>
        <v>0</v>
      </c>
      <c r="AN72" s="4">
        <f>DUT!AG73</f>
        <v>0.31622776601683794</v>
      </c>
      <c r="AO72" s="4">
        <f>IF(AND(UsePreamp,UseUserCal),Preamp!AF73,0)</f>
        <v>0.3981071705534972</v>
      </c>
      <c r="AP72" s="4">
        <f t="shared" si="115"/>
        <v>0.40853898265363492</v>
      </c>
      <c r="AQ72" s="88">
        <f t="shared" si="116"/>
        <v>1.8055713134491684</v>
      </c>
      <c r="AR72" s="88">
        <f t="shared" si="117"/>
        <v>0</v>
      </c>
      <c r="AS72" s="88">
        <f t="shared" si="138"/>
        <v>1.8055713134491684</v>
      </c>
      <c r="AT72" s="88">
        <f t="shared" si="118"/>
        <v>1.794101024863485</v>
      </c>
      <c r="AU72" s="88">
        <f t="shared" si="119"/>
        <v>15.979472932539238</v>
      </c>
      <c r="AV72" s="88">
        <f t="shared" si="139"/>
        <v>16.079874181384952</v>
      </c>
      <c r="AW72" s="88">
        <f>X72*Calibration!AT72*UseUserCal</f>
        <v>0.22843099786841564</v>
      </c>
      <c r="AX72" s="88">
        <f t="shared" si="120"/>
        <v>3.0744256849308269E-3</v>
      </c>
      <c r="AY72" s="167">
        <f t="shared" si="140"/>
        <v>0.22845168609675937</v>
      </c>
      <c r="AZ72" s="88">
        <f>U72*B72*(10^('Meas. Noise Std'!AB73/(ENRconf*10))-1)</f>
        <v>11.322883725670046</v>
      </c>
      <c r="BA72" s="88">
        <f t="shared" si="121"/>
        <v>0</v>
      </c>
      <c r="BB72" s="88">
        <f t="shared" si="122"/>
        <v>0</v>
      </c>
      <c r="BC72" s="88">
        <f t="shared" si="141"/>
        <v>0</v>
      </c>
      <c r="BD72" s="88">
        <f t="shared" si="123"/>
        <v>19.750501955521155</v>
      </c>
      <c r="BE72" s="4">
        <f t="shared" si="124"/>
        <v>39.501003911042311</v>
      </c>
      <c r="BF72" s="4">
        <f t="shared" si="125"/>
        <v>0.22933854830366102</v>
      </c>
      <c r="BG72" s="88">
        <f t="shared" si="126"/>
        <v>477.94806904882097</v>
      </c>
      <c r="BH72" s="88">
        <f t="shared" si="127"/>
        <v>398.94606122673639</v>
      </c>
      <c r="BI72" s="86">
        <f t="shared" si="128"/>
        <v>5.0907349989800315</v>
      </c>
      <c r="BJ72" s="86">
        <f>10*LOG10(($O72+NseMeas!T_0+BI72)/($O72+NseMeas!T_0))</f>
        <v>3.0245006045761878E-2</v>
      </c>
      <c r="BK72" s="86">
        <f t="shared" si="129"/>
        <v>31.958945865078476</v>
      </c>
      <c r="BL72" s="86">
        <f>10*LOG10(($O72+NseMeas!T_0+BK72)/($O72+NseMeas!T_0))</f>
        <v>0.18647543402094358</v>
      </c>
      <c r="BM72" s="86">
        <f t="shared" si="130"/>
        <v>22.645767451340092</v>
      </c>
      <c r="BN72" s="86">
        <f>10*LOG10(($O72+NseMeas!T_0+BM72)/($O72+NseMeas!T_0))</f>
        <v>0.13295619783758311</v>
      </c>
      <c r="BO72" s="86">
        <f t="shared" si="131"/>
        <v>0.45686199573683128</v>
      </c>
      <c r="BP72" s="86">
        <f>10*LOG10(($O72+NseMeas!T_0+BO72)/($O72+NseMeas!T_0))</f>
        <v>2.7229219493682755E-3</v>
      </c>
      <c r="BQ72" s="86">
        <f t="shared" si="132"/>
        <v>0</v>
      </c>
      <c r="BR72" s="86">
        <f>10*LOG10(($O72+NseMeas!T_0+BQ72)/($O72+NseMeas!T_0))</f>
        <v>0</v>
      </c>
      <c r="BT72" s="86">
        <f t="shared" si="133"/>
        <v>0</v>
      </c>
      <c r="BU72" s="86">
        <f>10*LOG10(($O72+NseMeas!T_0+BT72)/($O72+NseMeas!T_0))</f>
        <v>0</v>
      </c>
      <c r="BV72" s="86">
        <f t="shared" si="134"/>
        <v>31.958945865078476</v>
      </c>
      <c r="BW72" s="86">
        <f>10*LOG10(($O72+NseMeas!T_0+BV72)/($O72+NseMeas!T_0))</f>
        <v>0.18647543402094358</v>
      </c>
      <c r="BX72" s="175">
        <f>UseUserCal*X72*Calibration!AM72*nSD</f>
        <v>0</v>
      </c>
      <c r="BY72" s="86">
        <f>10*LOG10(($O72+NseMeas!T_0+BX72)/($O72+NseMeas!T_0))</f>
        <v>0</v>
      </c>
      <c r="BZ72" s="168">
        <f>UseUserCal*X72*Calibration!AP72*nSD</f>
        <v>0.45096991767149286</v>
      </c>
      <c r="CA72" s="86">
        <f>10*LOG10(($O72+NseMeas!T_0+BZ72)/($O72+NseMeas!T_0))</f>
        <v>2.6878157133072068E-3</v>
      </c>
      <c r="CB72" s="4">
        <f t="shared" si="135"/>
        <v>31.962127505434633</v>
      </c>
      <c r="CC72" s="86">
        <f>10*LOG10(($O72+NseMeas!T_0+CB72)/($O72+NseMeas!T_0))</f>
        <v>0.18649360544435875</v>
      </c>
    </row>
    <row r="73" spans="1:81">
      <c r="A73" s="4">
        <f t="shared" si="136"/>
        <v>26.500001000000001</v>
      </c>
      <c r="B73" s="164">
        <f>T_0*(1+10^('Meas. Noise Std'!AA74/10))</f>
        <v>1207.0605214488303</v>
      </c>
      <c r="C73" s="164">
        <f t="shared" si="93"/>
        <v>298</v>
      </c>
      <c r="D73" s="86">
        <f t="shared" si="94"/>
        <v>298</v>
      </c>
      <c r="E73" s="164">
        <f>IF(UsePreamp,T_0*(10^(Preamp!AE74/10)-1),0)</f>
        <v>627.06052144883006</v>
      </c>
      <c r="F73" s="164">
        <f>T_0*(10^((FieldFox!B73-kT0dB)/10)-1)</f>
        <v>45411.676407373438</v>
      </c>
      <c r="G73" s="86">
        <f>IF(UsePreamp,10^(Preamp!AD74/10),1)</f>
        <v>199.06734581632566</v>
      </c>
      <c r="H73" s="86">
        <f>T_0*(10^(DUT!AE74/10)-1)</f>
        <v>438.4470651377784</v>
      </c>
      <c r="I73" s="86">
        <f>10^(DUT!AD74/10)</f>
        <v>100</v>
      </c>
      <c r="J73" s="87">
        <f t="shared" si="95"/>
        <v>1.622883020530872E-6</v>
      </c>
      <c r="K73" s="87">
        <f t="shared" si="96"/>
        <v>7.3095684618375027E-7</v>
      </c>
      <c r="L73" s="87">
        <f t="shared" si="97"/>
        <v>2.2529120191543056E-9</v>
      </c>
      <c r="M73" s="87">
        <f>IF(UseUserCal,Calibration!M73,0)</f>
        <v>6.1524142648784919E-9</v>
      </c>
      <c r="N73" s="87">
        <f>IF(UseUserCal,Calibration!L73,1)</f>
        <v>199.06734581632574</v>
      </c>
      <c r="O73" s="165">
        <f t="shared" si="98"/>
        <v>438.44706513777868</v>
      </c>
      <c r="P73" s="86">
        <f t="shared" si="99"/>
        <v>99.999999999999943</v>
      </c>
      <c r="Q73" s="170">
        <f t="shared" si="100"/>
        <v>1.1843093476168496E-6</v>
      </c>
      <c r="R73" s="87">
        <f t="shared" si="101"/>
        <v>4.3018303428114972E-7</v>
      </c>
      <c r="S73" s="87">
        <f t="shared" si="102"/>
        <v>1844875354.154526</v>
      </c>
      <c r="T73" s="87">
        <f t="shared" si="103"/>
        <v>825664854.90636683</v>
      </c>
      <c r="U73" s="87">
        <f t="shared" si="104"/>
        <v>0.81010238367386822</v>
      </c>
      <c r="V73" s="87">
        <f t="shared" si="105"/>
        <v>-1.8101023836738681</v>
      </c>
      <c r="W73" s="87">
        <f t="shared" si="106"/>
        <v>5.023425594485369E-5</v>
      </c>
      <c r="X73" s="87">
        <f t="shared" si="107"/>
        <v>1019210499.2481589</v>
      </c>
      <c r="Y73" s="86">
        <f>FieldFox!AG73</f>
        <v>0.1</v>
      </c>
      <c r="Z73" s="86">
        <f>FieldFox!AF73</f>
        <v>0.1</v>
      </c>
      <c r="AA73" s="86">
        <f>FieldFox!AH73</f>
        <v>0.1</v>
      </c>
      <c r="AB73" s="87">
        <f t="shared" si="108"/>
        <v>1.3389238540091567E-3</v>
      </c>
      <c r="AC73" s="87">
        <f t="shared" si="109"/>
        <v>1.3389238540091567E-3</v>
      </c>
      <c r="AD73" s="87">
        <f t="shared" si="110"/>
        <v>1.3389238540091567E-3</v>
      </c>
      <c r="AE73" s="87">
        <f>DUT!AF74</f>
        <v>0.2</v>
      </c>
      <c r="AF73" s="4">
        <f t="shared" si="111"/>
        <v>0.40853898265363492</v>
      </c>
      <c r="AG73" s="4">
        <f>'Meas. Noise Std'!AC74</f>
        <v>0.1</v>
      </c>
      <c r="AH73" s="4">
        <f>'Meas. Noise Std'!AD74</f>
        <v>1</v>
      </c>
      <c r="AI73" s="4">
        <f>DUT!AH74</f>
        <v>0</v>
      </c>
      <c r="AJ73" s="166">
        <f t="shared" si="112"/>
        <v>1.6341559306145403E-2</v>
      </c>
      <c r="AK73" s="166">
        <f t="shared" si="113"/>
        <v>0</v>
      </c>
      <c r="AL73" s="163">
        <f t="shared" si="137"/>
        <v>1.6341559306145403E-2</v>
      </c>
      <c r="AM73" s="4">
        <f t="shared" si="114"/>
        <v>0</v>
      </c>
      <c r="AN73" s="4">
        <f>DUT!AG74</f>
        <v>0.31622776601683794</v>
      </c>
      <c r="AO73" s="4">
        <f>IF(AND(UsePreamp,UseUserCal),Preamp!AF74,0)</f>
        <v>0.3981071705534972</v>
      </c>
      <c r="AP73" s="4">
        <f t="shared" si="115"/>
        <v>0.40853898265363492</v>
      </c>
      <c r="AQ73" s="88">
        <f t="shared" si="116"/>
        <v>1.8055713134491684</v>
      </c>
      <c r="AR73" s="88">
        <f t="shared" si="117"/>
        <v>0</v>
      </c>
      <c r="AS73" s="88">
        <f t="shared" si="138"/>
        <v>1.8055713134491684</v>
      </c>
      <c r="AT73" s="88">
        <f t="shared" si="118"/>
        <v>1.794101024863485</v>
      </c>
      <c r="AU73" s="88">
        <f t="shared" si="119"/>
        <v>15.979472932539238</v>
      </c>
      <c r="AV73" s="88">
        <f t="shared" si="139"/>
        <v>16.079874181384952</v>
      </c>
      <c r="AW73" s="88">
        <f>X73*Calibration!AT73*UseUserCal</f>
        <v>0.22843099786841564</v>
      </c>
      <c r="AX73" s="88">
        <f t="shared" si="120"/>
        <v>3.0744256849308269E-3</v>
      </c>
      <c r="AY73" s="167">
        <f t="shared" si="140"/>
        <v>0.22845168609675937</v>
      </c>
      <c r="AZ73" s="88">
        <f>U73*B73*(10^('Meas. Noise Std'!AB74/(ENRconf*10))-1)</f>
        <v>11.322883725670046</v>
      </c>
      <c r="BA73" s="88">
        <f t="shared" si="121"/>
        <v>0</v>
      </c>
      <c r="BB73" s="88">
        <f t="shared" si="122"/>
        <v>0</v>
      </c>
      <c r="BC73" s="88">
        <f t="shared" si="141"/>
        <v>0</v>
      </c>
      <c r="BD73" s="88">
        <f t="shared" si="123"/>
        <v>19.750501955521155</v>
      </c>
      <c r="BE73" s="4">
        <f t="shared" si="124"/>
        <v>39.501003911042311</v>
      </c>
      <c r="BF73" s="4">
        <f t="shared" si="125"/>
        <v>0.22933854830366102</v>
      </c>
      <c r="BG73" s="88">
        <f t="shared" si="126"/>
        <v>477.94806904882097</v>
      </c>
      <c r="BH73" s="88">
        <f t="shared" si="127"/>
        <v>398.94606122673639</v>
      </c>
      <c r="BI73" s="86">
        <f t="shared" si="128"/>
        <v>5.0907349989800315</v>
      </c>
      <c r="BJ73" s="86">
        <f>10*LOG10(($O73+NseMeas!T_0+BI73)/($O73+NseMeas!T_0))</f>
        <v>3.0245006045761878E-2</v>
      </c>
      <c r="BK73" s="86">
        <f t="shared" si="129"/>
        <v>31.958945865078476</v>
      </c>
      <c r="BL73" s="86">
        <f>10*LOG10(($O73+NseMeas!T_0+BK73)/($O73+NseMeas!T_0))</f>
        <v>0.18647543402094358</v>
      </c>
      <c r="BM73" s="86">
        <f t="shared" si="130"/>
        <v>22.645767451340092</v>
      </c>
      <c r="BN73" s="86">
        <f>10*LOG10(($O73+NseMeas!T_0+BM73)/($O73+NseMeas!T_0))</f>
        <v>0.13295619783758311</v>
      </c>
      <c r="BO73" s="86">
        <f t="shared" si="131"/>
        <v>0.45686199573683128</v>
      </c>
      <c r="BP73" s="86">
        <f>10*LOG10(($O73+NseMeas!T_0+BO73)/($O73+NseMeas!T_0))</f>
        <v>2.7229219493682755E-3</v>
      </c>
      <c r="BQ73" s="86">
        <f t="shared" si="132"/>
        <v>0</v>
      </c>
      <c r="BR73" s="86">
        <f>10*LOG10(($O73+NseMeas!T_0+BQ73)/($O73+NseMeas!T_0))</f>
        <v>0</v>
      </c>
      <c r="BT73" s="86">
        <f t="shared" si="133"/>
        <v>0</v>
      </c>
      <c r="BU73" s="86">
        <f>10*LOG10(($O73+NseMeas!T_0+BT73)/($O73+NseMeas!T_0))</f>
        <v>0</v>
      </c>
      <c r="BV73" s="86">
        <f t="shared" si="134"/>
        <v>31.958945865078476</v>
      </c>
      <c r="BW73" s="86">
        <f>10*LOG10(($O73+NseMeas!T_0+BV73)/($O73+NseMeas!T_0))</f>
        <v>0.18647543402094358</v>
      </c>
      <c r="BX73" s="175">
        <f>UseUserCal*X73*Calibration!AM73*nSD</f>
        <v>0</v>
      </c>
      <c r="BY73" s="86">
        <f>10*LOG10(($O73+NseMeas!T_0+BX73)/($O73+NseMeas!T_0))</f>
        <v>0</v>
      </c>
      <c r="BZ73" s="168">
        <f>UseUserCal*X73*Calibration!AP73*nSD</f>
        <v>0.45096991767149286</v>
      </c>
      <c r="CA73" s="86">
        <f>10*LOG10(($O73+NseMeas!T_0+BZ73)/($O73+NseMeas!T_0))</f>
        <v>2.6878157133072068E-3</v>
      </c>
      <c r="CB73" s="4">
        <f t="shared" si="135"/>
        <v>31.962127505434633</v>
      </c>
      <c r="CC73" s="86">
        <f>10*LOG10(($O73+NseMeas!T_0+CB73)/($O73+NseMeas!T_0))</f>
        <v>0.18649360544435875</v>
      </c>
    </row>
    <row r="74" spans="1:81">
      <c r="A74" s="4">
        <f t="shared" si="136"/>
        <v>26.500001000000001</v>
      </c>
      <c r="B74" s="164">
        <f>T_0*(1+10^('Meas. Noise Std'!AA75/10))</f>
        <v>1207.0605214488303</v>
      </c>
      <c r="C74" s="164">
        <f t="shared" si="93"/>
        <v>298</v>
      </c>
      <c r="D74" s="86">
        <f t="shared" si="94"/>
        <v>298</v>
      </c>
      <c r="E74" s="164">
        <f>IF(UsePreamp,T_0*(10^(Preamp!AE75/10)-1),0)</f>
        <v>627.06052144883006</v>
      </c>
      <c r="F74" s="164">
        <f>T_0*(10^((FieldFox!B74-kT0dB)/10)-1)</f>
        <v>45411.676407373438</v>
      </c>
      <c r="G74" s="86">
        <f>IF(UsePreamp,10^(Preamp!AD75/10),1)</f>
        <v>199.06734581632566</v>
      </c>
      <c r="H74" s="86">
        <f>T_0*(10^(DUT!AE75/10)-1)</f>
        <v>438.4470651377784</v>
      </c>
      <c r="I74" s="86">
        <f>10^(DUT!AD75/10)</f>
        <v>100</v>
      </c>
      <c r="J74" s="87">
        <f t="shared" si="95"/>
        <v>1.622883020530872E-6</v>
      </c>
      <c r="K74" s="87">
        <f t="shared" si="96"/>
        <v>7.3095684618375027E-7</v>
      </c>
      <c r="L74" s="87">
        <f t="shared" si="97"/>
        <v>2.2529120191543056E-9</v>
      </c>
      <c r="M74" s="87">
        <f>IF(UseUserCal,Calibration!M74,0)</f>
        <v>6.1524142648784919E-9</v>
      </c>
      <c r="N74" s="87">
        <f>IF(UseUserCal,Calibration!L74,1)</f>
        <v>199.06734581632574</v>
      </c>
      <c r="O74" s="165">
        <f t="shared" si="98"/>
        <v>438.44706513777868</v>
      </c>
      <c r="P74" s="86">
        <f t="shared" si="99"/>
        <v>99.999999999999943</v>
      </c>
      <c r="Q74" s="170">
        <f t="shared" si="100"/>
        <v>1.1843093476168496E-6</v>
      </c>
      <c r="R74" s="87">
        <f t="shared" si="101"/>
        <v>4.3018303428114972E-7</v>
      </c>
      <c r="S74" s="87">
        <f t="shared" si="102"/>
        <v>1844875354.154526</v>
      </c>
      <c r="T74" s="87">
        <f t="shared" si="103"/>
        <v>825664854.90636683</v>
      </c>
      <c r="U74" s="87">
        <f t="shared" si="104"/>
        <v>0.81010238367386822</v>
      </c>
      <c r="V74" s="87">
        <f t="shared" si="105"/>
        <v>-1.8101023836738681</v>
      </c>
      <c r="W74" s="87">
        <f t="shared" si="106"/>
        <v>5.023425594485369E-5</v>
      </c>
      <c r="X74" s="87">
        <f t="shared" si="107"/>
        <v>1019210499.2481589</v>
      </c>
      <c r="Y74" s="86">
        <f>FieldFox!AG74</f>
        <v>0.1</v>
      </c>
      <c r="Z74" s="86">
        <f>FieldFox!AF74</f>
        <v>0.1</v>
      </c>
      <c r="AA74" s="86">
        <f>FieldFox!AH74</f>
        <v>0.1</v>
      </c>
      <c r="AB74" s="87">
        <f t="shared" si="108"/>
        <v>1.3389238540091567E-3</v>
      </c>
      <c r="AC74" s="87">
        <f t="shared" si="109"/>
        <v>1.3389238540091567E-3</v>
      </c>
      <c r="AD74" s="87">
        <f t="shared" si="110"/>
        <v>1.3389238540091567E-3</v>
      </c>
      <c r="AE74" s="87">
        <f>DUT!AF75</f>
        <v>0.2</v>
      </c>
      <c r="AF74" s="4">
        <f t="shared" si="111"/>
        <v>0.40853898265363492</v>
      </c>
      <c r="AG74" s="4">
        <f>'Meas. Noise Std'!AC75</f>
        <v>0.1</v>
      </c>
      <c r="AH74" s="4">
        <f>'Meas. Noise Std'!AD75</f>
        <v>1</v>
      </c>
      <c r="AI74" s="4">
        <f>DUT!AH75</f>
        <v>0</v>
      </c>
      <c r="AJ74" s="166">
        <f t="shared" si="112"/>
        <v>1.6341559306145403E-2</v>
      </c>
      <c r="AK74" s="166">
        <f t="shared" si="113"/>
        <v>0</v>
      </c>
      <c r="AL74" s="163">
        <f t="shared" si="137"/>
        <v>1.6341559306145403E-2</v>
      </c>
      <c r="AM74" s="4">
        <f t="shared" si="114"/>
        <v>0</v>
      </c>
      <c r="AN74" s="4">
        <f>DUT!AG75</f>
        <v>0.31622776601683794</v>
      </c>
      <c r="AO74" s="4">
        <f>IF(AND(UsePreamp,UseUserCal),Preamp!AF75,0)</f>
        <v>0.3981071705534972</v>
      </c>
      <c r="AP74" s="4">
        <f t="shared" si="115"/>
        <v>0.40853898265363492</v>
      </c>
      <c r="AQ74" s="88">
        <f t="shared" si="116"/>
        <v>1.8055713134491684</v>
      </c>
      <c r="AR74" s="88">
        <f t="shared" si="117"/>
        <v>0</v>
      </c>
      <c r="AS74" s="88">
        <f t="shared" si="138"/>
        <v>1.8055713134491684</v>
      </c>
      <c r="AT74" s="88">
        <f t="shared" si="118"/>
        <v>1.794101024863485</v>
      </c>
      <c r="AU74" s="88">
        <f t="shared" si="119"/>
        <v>15.979472932539238</v>
      </c>
      <c r="AV74" s="88">
        <f t="shared" si="139"/>
        <v>16.079874181384952</v>
      </c>
      <c r="AW74" s="88">
        <f>X74*Calibration!AT74*UseUserCal</f>
        <v>0.22843099786841564</v>
      </c>
      <c r="AX74" s="88">
        <f t="shared" si="120"/>
        <v>3.0744256849308269E-3</v>
      </c>
      <c r="AY74" s="167">
        <f t="shared" si="140"/>
        <v>0.22845168609675937</v>
      </c>
      <c r="AZ74" s="88">
        <f>U74*B74*(10^('Meas. Noise Std'!AB75/(ENRconf*10))-1)</f>
        <v>11.322883725670046</v>
      </c>
      <c r="BA74" s="88">
        <f t="shared" si="121"/>
        <v>0</v>
      </c>
      <c r="BB74" s="88">
        <f t="shared" si="122"/>
        <v>0</v>
      </c>
      <c r="BC74" s="88">
        <f t="shared" si="141"/>
        <v>0</v>
      </c>
      <c r="BD74" s="88">
        <f t="shared" si="123"/>
        <v>19.750501955521155</v>
      </c>
      <c r="BE74" s="4">
        <f t="shared" si="124"/>
        <v>39.501003911042311</v>
      </c>
      <c r="BF74" s="4">
        <f t="shared" si="125"/>
        <v>0.22933854830366102</v>
      </c>
      <c r="BG74" s="88">
        <f t="shared" si="126"/>
        <v>477.94806904882097</v>
      </c>
      <c r="BH74" s="88">
        <f t="shared" si="127"/>
        <v>398.94606122673639</v>
      </c>
      <c r="BI74" s="86">
        <f t="shared" si="128"/>
        <v>5.0907349989800315</v>
      </c>
      <c r="BJ74" s="86">
        <f>10*LOG10(($O74+NseMeas!T_0+BI74)/($O74+NseMeas!T_0))</f>
        <v>3.0245006045761878E-2</v>
      </c>
      <c r="BK74" s="86">
        <f t="shared" si="129"/>
        <v>31.958945865078476</v>
      </c>
      <c r="BL74" s="86">
        <f>10*LOG10(($O74+NseMeas!T_0+BK74)/($O74+NseMeas!T_0))</f>
        <v>0.18647543402094358</v>
      </c>
      <c r="BM74" s="86">
        <f t="shared" si="130"/>
        <v>22.645767451340092</v>
      </c>
      <c r="BN74" s="86">
        <f>10*LOG10(($O74+NseMeas!T_0+BM74)/($O74+NseMeas!T_0))</f>
        <v>0.13295619783758311</v>
      </c>
      <c r="BO74" s="86">
        <f t="shared" si="131"/>
        <v>0.45686199573683128</v>
      </c>
      <c r="BP74" s="86">
        <f>10*LOG10(($O74+NseMeas!T_0+BO74)/($O74+NseMeas!T_0))</f>
        <v>2.7229219493682755E-3</v>
      </c>
      <c r="BQ74" s="86">
        <f t="shared" si="132"/>
        <v>0</v>
      </c>
      <c r="BR74" s="86">
        <f>10*LOG10(($O74+NseMeas!T_0+BQ74)/($O74+NseMeas!T_0))</f>
        <v>0</v>
      </c>
      <c r="BT74" s="86">
        <f t="shared" si="133"/>
        <v>0</v>
      </c>
      <c r="BU74" s="86">
        <f>10*LOG10(($O74+NseMeas!T_0+BT74)/($O74+NseMeas!T_0))</f>
        <v>0</v>
      </c>
      <c r="BV74" s="86">
        <f t="shared" si="134"/>
        <v>31.958945865078476</v>
      </c>
      <c r="BW74" s="86">
        <f>10*LOG10(($O74+NseMeas!T_0+BV74)/($O74+NseMeas!T_0))</f>
        <v>0.18647543402094358</v>
      </c>
      <c r="BX74" s="175">
        <f>UseUserCal*X74*Calibration!AM74*nSD</f>
        <v>0</v>
      </c>
      <c r="BY74" s="86">
        <f>10*LOG10(($O74+NseMeas!T_0+BX74)/($O74+NseMeas!T_0))</f>
        <v>0</v>
      </c>
      <c r="BZ74" s="168">
        <f>UseUserCal*X74*Calibration!AP74*nSD</f>
        <v>0.45096991767149286</v>
      </c>
      <c r="CA74" s="86">
        <f>10*LOG10(($O74+NseMeas!T_0+BZ74)/($O74+NseMeas!T_0))</f>
        <v>2.6878157133072068E-3</v>
      </c>
      <c r="CB74" s="4">
        <f t="shared" si="135"/>
        <v>31.962127505434633</v>
      </c>
      <c r="CC74" s="86">
        <f>10*LOG10(($O74+NseMeas!T_0+CB74)/($O74+NseMeas!T_0))</f>
        <v>0.18649360544435875</v>
      </c>
    </row>
    <row r="75" spans="1:81">
      <c r="A75" s="4">
        <f t="shared" si="136"/>
        <v>26.500001000000001</v>
      </c>
      <c r="B75" s="164">
        <f>T_0*(1+10^('Meas. Noise Std'!AA76/10))</f>
        <v>1207.0605214488303</v>
      </c>
      <c r="C75" s="164">
        <f t="shared" si="93"/>
        <v>298</v>
      </c>
      <c r="D75" s="86">
        <f t="shared" si="94"/>
        <v>298</v>
      </c>
      <c r="E75" s="164">
        <f>IF(UsePreamp,T_0*(10^(Preamp!AE76/10)-1),0)</f>
        <v>627.06052144883006</v>
      </c>
      <c r="F75" s="164">
        <f>T_0*(10^((FieldFox!B75-kT0dB)/10)-1)</f>
        <v>45411.676407373438</v>
      </c>
      <c r="G75" s="86">
        <f>IF(UsePreamp,10^(Preamp!AD76/10),1)</f>
        <v>199.06734581632566</v>
      </c>
      <c r="H75" s="86">
        <f>T_0*(10^(DUT!AE76/10)-1)</f>
        <v>438.4470651377784</v>
      </c>
      <c r="I75" s="86">
        <f>10^(DUT!AD76/10)</f>
        <v>100</v>
      </c>
      <c r="J75" s="87">
        <f t="shared" si="95"/>
        <v>1.622883020530872E-6</v>
      </c>
      <c r="K75" s="87">
        <f t="shared" si="96"/>
        <v>7.3095684618375027E-7</v>
      </c>
      <c r="L75" s="87">
        <f t="shared" si="97"/>
        <v>2.2529120191543056E-9</v>
      </c>
      <c r="M75" s="87">
        <f>IF(UseUserCal,Calibration!M75,0)</f>
        <v>6.1524142648784919E-9</v>
      </c>
      <c r="N75" s="87">
        <f>IF(UseUserCal,Calibration!L75,1)</f>
        <v>199.06734581632574</v>
      </c>
      <c r="O75" s="165">
        <f t="shared" si="98"/>
        <v>438.44706513777868</v>
      </c>
      <c r="P75" s="86">
        <f t="shared" si="99"/>
        <v>99.999999999999943</v>
      </c>
      <c r="Q75" s="170">
        <f t="shared" si="100"/>
        <v>1.1843093476168496E-6</v>
      </c>
      <c r="R75" s="87">
        <f t="shared" si="101"/>
        <v>4.3018303428114972E-7</v>
      </c>
      <c r="S75" s="87">
        <f t="shared" si="102"/>
        <v>1844875354.154526</v>
      </c>
      <c r="T75" s="87">
        <f t="shared" si="103"/>
        <v>825664854.90636683</v>
      </c>
      <c r="U75" s="87">
        <f t="shared" si="104"/>
        <v>0.81010238367386822</v>
      </c>
      <c r="V75" s="87">
        <f t="shared" si="105"/>
        <v>-1.8101023836738681</v>
      </c>
      <c r="W75" s="87">
        <f t="shared" si="106"/>
        <v>5.023425594485369E-5</v>
      </c>
      <c r="X75" s="87">
        <f t="shared" si="107"/>
        <v>1019210499.2481589</v>
      </c>
      <c r="Y75" s="86">
        <f>FieldFox!AG75</f>
        <v>0.1</v>
      </c>
      <c r="Z75" s="86">
        <f>FieldFox!AF75</f>
        <v>0.1</v>
      </c>
      <c r="AA75" s="86">
        <f>FieldFox!AH75</f>
        <v>0.1</v>
      </c>
      <c r="AB75" s="87">
        <f t="shared" si="108"/>
        <v>1.3389238540091567E-3</v>
      </c>
      <c r="AC75" s="87">
        <f t="shared" si="109"/>
        <v>1.3389238540091567E-3</v>
      </c>
      <c r="AD75" s="87">
        <f t="shared" si="110"/>
        <v>1.3389238540091567E-3</v>
      </c>
      <c r="AE75" s="87">
        <f>DUT!AF76</f>
        <v>0.2</v>
      </c>
      <c r="AF75" s="4">
        <f t="shared" si="111"/>
        <v>0.40853898265363492</v>
      </c>
      <c r="AG75" s="4">
        <f>'Meas. Noise Std'!AC76</f>
        <v>0.1</v>
      </c>
      <c r="AH75" s="4">
        <f>'Meas. Noise Std'!AD76</f>
        <v>1</v>
      </c>
      <c r="AI75" s="4">
        <f>DUT!AH76</f>
        <v>0</v>
      </c>
      <c r="AJ75" s="166">
        <f t="shared" si="112"/>
        <v>1.6341559306145403E-2</v>
      </c>
      <c r="AK75" s="166">
        <f t="shared" si="113"/>
        <v>0</v>
      </c>
      <c r="AL75" s="163">
        <f t="shared" si="137"/>
        <v>1.6341559306145403E-2</v>
      </c>
      <c r="AM75" s="4">
        <f t="shared" si="114"/>
        <v>0</v>
      </c>
      <c r="AN75" s="4">
        <f>DUT!AG76</f>
        <v>0.31622776601683794</v>
      </c>
      <c r="AO75" s="4">
        <f>IF(AND(UsePreamp,UseUserCal),Preamp!AF76,0)</f>
        <v>0.3981071705534972</v>
      </c>
      <c r="AP75" s="4">
        <f t="shared" si="115"/>
        <v>0.40853898265363492</v>
      </c>
      <c r="AQ75" s="88">
        <f t="shared" si="116"/>
        <v>1.8055713134491684</v>
      </c>
      <c r="AR75" s="88">
        <f t="shared" si="117"/>
        <v>0</v>
      </c>
      <c r="AS75" s="88">
        <f t="shared" si="138"/>
        <v>1.8055713134491684</v>
      </c>
      <c r="AT75" s="88">
        <f t="shared" si="118"/>
        <v>1.794101024863485</v>
      </c>
      <c r="AU75" s="88">
        <f t="shared" si="119"/>
        <v>15.979472932539238</v>
      </c>
      <c r="AV75" s="88">
        <f t="shared" si="139"/>
        <v>16.079874181384952</v>
      </c>
      <c r="AW75" s="88">
        <f>X75*Calibration!AT75*UseUserCal</f>
        <v>0.22843099786841564</v>
      </c>
      <c r="AX75" s="88">
        <f t="shared" si="120"/>
        <v>3.0744256849308269E-3</v>
      </c>
      <c r="AY75" s="167">
        <f t="shared" si="140"/>
        <v>0.22845168609675937</v>
      </c>
      <c r="AZ75" s="88">
        <f>U75*B75*(10^('Meas. Noise Std'!AB76/(ENRconf*10))-1)</f>
        <v>11.322883725670046</v>
      </c>
      <c r="BA75" s="88">
        <f t="shared" si="121"/>
        <v>0</v>
      </c>
      <c r="BB75" s="88">
        <f t="shared" si="122"/>
        <v>0</v>
      </c>
      <c r="BC75" s="88">
        <f t="shared" si="141"/>
        <v>0</v>
      </c>
      <c r="BD75" s="88">
        <f t="shared" si="123"/>
        <v>19.750501955521155</v>
      </c>
      <c r="BE75" s="4">
        <f t="shared" si="124"/>
        <v>39.501003911042311</v>
      </c>
      <c r="BF75" s="4">
        <f t="shared" si="125"/>
        <v>0.22933854830366102</v>
      </c>
      <c r="BG75" s="88">
        <f t="shared" si="126"/>
        <v>477.94806904882097</v>
      </c>
      <c r="BH75" s="88">
        <f t="shared" si="127"/>
        <v>398.94606122673639</v>
      </c>
      <c r="BI75" s="86">
        <f t="shared" si="128"/>
        <v>5.0907349989800315</v>
      </c>
      <c r="BJ75" s="86">
        <f>10*LOG10(($O75+NseMeas!T_0+BI75)/($O75+NseMeas!T_0))</f>
        <v>3.0245006045761878E-2</v>
      </c>
      <c r="BK75" s="86">
        <f t="shared" si="129"/>
        <v>31.958945865078476</v>
      </c>
      <c r="BL75" s="86">
        <f>10*LOG10(($O75+NseMeas!T_0+BK75)/($O75+NseMeas!T_0))</f>
        <v>0.18647543402094358</v>
      </c>
      <c r="BM75" s="86">
        <f t="shared" si="130"/>
        <v>22.645767451340092</v>
      </c>
      <c r="BN75" s="86">
        <f>10*LOG10(($O75+NseMeas!T_0+BM75)/($O75+NseMeas!T_0))</f>
        <v>0.13295619783758311</v>
      </c>
      <c r="BO75" s="86">
        <f t="shared" si="131"/>
        <v>0.45686199573683128</v>
      </c>
      <c r="BP75" s="86">
        <f>10*LOG10(($O75+NseMeas!T_0+BO75)/($O75+NseMeas!T_0))</f>
        <v>2.7229219493682755E-3</v>
      </c>
      <c r="BQ75" s="86">
        <f t="shared" si="132"/>
        <v>0</v>
      </c>
      <c r="BR75" s="86">
        <f>10*LOG10(($O75+NseMeas!T_0+BQ75)/($O75+NseMeas!T_0))</f>
        <v>0</v>
      </c>
      <c r="BT75" s="86">
        <f t="shared" si="133"/>
        <v>0</v>
      </c>
      <c r="BU75" s="86">
        <f>10*LOG10(($O75+NseMeas!T_0+BT75)/($O75+NseMeas!T_0))</f>
        <v>0</v>
      </c>
      <c r="BV75" s="86">
        <f t="shared" si="134"/>
        <v>31.958945865078476</v>
      </c>
      <c r="BW75" s="86">
        <f>10*LOG10(($O75+NseMeas!T_0+BV75)/($O75+NseMeas!T_0))</f>
        <v>0.18647543402094358</v>
      </c>
      <c r="BX75" s="175">
        <f>UseUserCal*X75*Calibration!AM75*nSD</f>
        <v>0</v>
      </c>
      <c r="BY75" s="86">
        <f>10*LOG10(($O75+NseMeas!T_0+BX75)/($O75+NseMeas!T_0))</f>
        <v>0</v>
      </c>
      <c r="BZ75" s="168">
        <f>UseUserCal*X75*Calibration!AP75*nSD</f>
        <v>0.45096991767149286</v>
      </c>
      <c r="CA75" s="86">
        <f>10*LOG10(($O75+NseMeas!T_0+BZ75)/($O75+NseMeas!T_0))</f>
        <v>2.6878157133072068E-3</v>
      </c>
      <c r="CB75" s="4">
        <f t="shared" si="135"/>
        <v>31.962127505434633</v>
      </c>
      <c r="CC75" s="86">
        <f>10*LOG10(($O75+NseMeas!T_0+CB75)/($O75+NseMeas!T_0))</f>
        <v>0.18649360544435875</v>
      </c>
    </row>
    <row r="76" spans="1:81">
      <c r="A76" s="4">
        <f t="shared" si="136"/>
        <v>26.500001000000001</v>
      </c>
      <c r="B76" s="164">
        <f>T_0*(1+10^('Meas. Noise Std'!AA77/10))</f>
        <v>1207.0605214488303</v>
      </c>
      <c r="C76" s="164">
        <f t="shared" si="93"/>
        <v>298</v>
      </c>
      <c r="D76" s="86">
        <f t="shared" si="94"/>
        <v>298</v>
      </c>
      <c r="E76" s="164">
        <f>IF(UsePreamp,T_0*(10^(Preamp!AE77/10)-1),0)</f>
        <v>627.06052144883006</v>
      </c>
      <c r="F76" s="164">
        <f>T_0*(10^((FieldFox!B76-kT0dB)/10)-1)</f>
        <v>45411.676407373438</v>
      </c>
      <c r="G76" s="86">
        <f>IF(UsePreamp,10^(Preamp!AD77/10),1)</f>
        <v>199.06734581632566</v>
      </c>
      <c r="H76" s="86">
        <f>T_0*(10^(DUT!AE77/10)-1)</f>
        <v>438.4470651377784</v>
      </c>
      <c r="I76" s="86">
        <f>10^(DUT!AD77/10)</f>
        <v>100</v>
      </c>
      <c r="J76" s="87">
        <f t="shared" si="95"/>
        <v>1.622883020530872E-6</v>
      </c>
      <c r="K76" s="87">
        <f t="shared" si="96"/>
        <v>7.3095684618375027E-7</v>
      </c>
      <c r="L76" s="87">
        <f t="shared" si="97"/>
        <v>2.2529120191543056E-9</v>
      </c>
      <c r="M76" s="87">
        <f>IF(UseUserCal,Calibration!M76,0)</f>
        <v>6.1524142648784919E-9</v>
      </c>
      <c r="N76" s="87">
        <f>IF(UseUserCal,Calibration!L76,1)</f>
        <v>199.06734581632574</v>
      </c>
      <c r="O76" s="165">
        <f t="shared" si="98"/>
        <v>438.44706513777868</v>
      </c>
      <c r="P76" s="86">
        <f t="shared" si="99"/>
        <v>99.999999999999943</v>
      </c>
      <c r="Q76" s="170">
        <f t="shared" si="100"/>
        <v>1.1843093476168496E-6</v>
      </c>
      <c r="R76" s="87">
        <f t="shared" si="101"/>
        <v>4.3018303428114972E-7</v>
      </c>
      <c r="S76" s="87">
        <f t="shared" si="102"/>
        <v>1844875354.154526</v>
      </c>
      <c r="T76" s="87">
        <f t="shared" si="103"/>
        <v>825664854.90636683</v>
      </c>
      <c r="U76" s="87">
        <f t="shared" si="104"/>
        <v>0.81010238367386822</v>
      </c>
      <c r="V76" s="87">
        <f t="shared" si="105"/>
        <v>-1.8101023836738681</v>
      </c>
      <c r="W76" s="87">
        <f t="shared" si="106"/>
        <v>5.023425594485369E-5</v>
      </c>
      <c r="X76" s="87">
        <f t="shared" si="107"/>
        <v>1019210499.2481589</v>
      </c>
      <c r="Y76" s="86">
        <f>FieldFox!AG76</f>
        <v>0.1</v>
      </c>
      <c r="Z76" s="86">
        <f>FieldFox!AF76</f>
        <v>0.1</v>
      </c>
      <c r="AA76" s="86">
        <f>FieldFox!AH76</f>
        <v>0.1</v>
      </c>
      <c r="AB76" s="87">
        <f t="shared" si="108"/>
        <v>1.3389238540091567E-3</v>
      </c>
      <c r="AC76" s="87">
        <f t="shared" si="109"/>
        <v>1.3389238540091567E-3</v>
      </c>
      <c r="AD76" s="87">
        <f t="shared" si="110"/>
        <v>1.3389238540091567E-3</v>
      </c>
      <c r="AE76" s="87">
        <f>DUT!AF77</f>
        <v>0.2</v>
      </c>
      <c r="AF76" s="4">
        <f t="shared" si="111"/>
        <v>0.40853898265363492</v>
      </c>
      <c r="AG76" s="4">
        <f>'Meas. Noise Std'!AC77</f>
        <v>0.1</v>
      </c>
      <c r="AH76" s="4">
        <f>'Meas. Noise Std'!AD77</f>
        <v>1</v>
      </c>
      <c r="AI76" s="4">
        <f>DUT!AH77</f>
        <v>0</v>
      </c>
      <c r="AJ76" s="166">
        <f t="shared" si="112"/>
        <v>1.6341559306145403E-2</v>
      </c>
      <c r="AK76" s="166">
        <f t="shared" si="113"/>
        <v>0</v>
      </c>
      <c r="AL76" s="163">
        <f t="shared" si="137"/>
        <v>1.6341559306145403E-2</v>
      </c>
      <c r="AM76" s="4">
        <f t="shared" si="114"/>
        <v>0</v>
      </c>
      <c r="AN76" s="4">
        <f>DUT!AG77</f>
        <v>0.31622776601683794</v>
      </c>
      <c r="AO76" s="4">
        <f>IF(AND(UsePreamp,UseUserCal),Preamp!AF77,0)</f>
        <v>0.3981071705534972</v>
      </c>
      <c r="AP76" s="4">
        <f t="shared" si="115"/>
        <v>0.40853898265363492</v>
      </c>
      <c r="AQ76" s="88">
        <f t="shared" si="116"/>
        <v>1.8055713134491684</v>
      </c>
      <c r="AR76" s="88">
        <f t="shared" si="117"/>
        <v>0</v>
      </c>
      <c r="AS76" s="88">
        <f t="shared" si="138"/>
        <v>1.8055713134491684</v>
      </c>
      <c r="AT76" s="88">
        <f t="shared" si="118"/>
        <v>1.794101024863485</v>
      </c>
      <c r="AU76" s="88">
        <f t="shared" si="119"/>
        <v>15.979472932539238</v>
      </c>
      <c r="AV76" s="88">
        <f t="shared" si="139"/>
        <v>16.079874181384952</v>
      </c>
      <c r="AW76" s="88">
        <f>X76*Calibration!AT76*UseUserCal</f>
        <v>0.22843099786841564</v>
      </c>
      <c r="AX76" s="88">
        <f t="shared" si="120"/>
        <v>3.0744256849308269E-3</v>
      </c>
      <c r="AY76" s="167">
        <f t="shared" si="140"/>
        <v>0.22845168609675937</v>
      </c>
      <c r="AZ76" s="88">
        <f>U76*B76*(10^('Meas. Noise Std'!AB77/(ENRconf*10))-1)</f>
        <v>11.322883725670046</v>
      </c>
      <c r="BA76" s="88">
        <f t="shared" si="121"/>
        <v>0</v>
      </c>
      <c r="BB76" s="88">
        <f t="shared" si="122"/>
        <v>0</v>
      </c>
      <c r="BC76" s="88">
        <f t="shared" si="141"/>
        <v>0</v>
      </c>
      <c r="BD76" s="88">
        <f t="shared" si="123"/>
        <v>19.750501955521155</v>
      </c>
      <c r="BE76" s="4">
        <f t="shared" si="124"/>
        <v>39.501003911042311</v>
      </c>
      <c r="BF76" s="4">
        <f t="shared" si="125"/>
        <v>0.22933854830366102</v>
      </c>
      <c r="BG76" s="88">
        <f t="shared" si="126"/>
        <v>477.94806904882097</v>
      </c>
      <c r="BH76" s="88">
        <f t="shared" si="127"/>
        <v>398.94606122673639</v>
      </c>
      <c r="BI76" s="86">
        <f t="shared" si="128"/>
        <v>5.0907349989800315</v>
      </c>
      <c r="BJ76" s="86">
        <f>10*LOG10(($O76+NseMeas!T_0+BI76)/($O76+NseMeas!T_0))</f>
        <v>3.0245006045761878E-2</v>
      </c>
      <c r="BK76" s="86">
        <f t="shared" si="129"/>
        <v>31.958945865078476</v>
      </c>
      <c r="BL76" s="86">
        <f>10*LOG10(($O76+NseMeas!T_0+BK76)/($O76+NseMeas!T_0))</f>
        <v>0.18647543402094358</v>
      </c>
      <c r="BM76" s="86">
        <f t="shared" si="130"/>
        <v>22.645767451340092</v>
      </c>
      <c r="BN76" s="86">
        <f>10*LOG10(($O76+NseMeas!T_0+BM76)/($O76+NseMeas!T_0))</f>
        <v>0.13295619783758311</v>
      </c>
      <c r="BO76" s="86">
        <f t="shared" si="131"/>
        <v>0.45686199573683128</v>
      </c>
      <c r="BP76" s="86">
        <f>10*LOG10(($O76+NseMeas!T_0+BO76)/($O76+NseMeas!T_0))</f>
        <v>2.7229219493682755E-3</v>
      </c>
      <c r="BQ76" s="86">
        <f t="shared" si="132"/>
        <v>0</v>
      </c>
      <c r="BR76" s="86">
        <f>10*LOG10(($O76+NseMeas!T_0+BQ76)/($O76+NseMeas!T_0))</f>
        <v>0</v>
      </c>
      <c r="BT76" s="86">
        <f t="shared" si="133"/>
        <v>0</v>
      </c>
      <c r="BU76" s="86">
        <f>10*LOG10(($O76+NseMeas!T_0+BT76)/($O76+NseMeas!T_0))</f>
        <v>0</v>
      </c>
      <c r="BV76" s="86">
        <f t="shared" si="134"/>
        <v>31.958945865078476</v>
      </c>
      <c r="BW76" s="86">
        <f>10*LOG10(($O76+NseMeas!T_0+BV76)/($O76+NseMeas!T_0))</f>
        <v>0.18647543402094358</v>
      </c>
      <c r="BX76" s="175">
        <f>UseUserCal*X76*Calibration!AM76*nSD</f>
        <v>0</v>
      </c>
      <c r="BY76" s="86">
        <f>10*LOG10(($O76+NseMeas!T_0+BX76)/($O76+NseMeas!T_0))</f>
        <v>0</v>
      </c>
      <c r="BZ76" s="168">
        <f>UseUserCal*X76*Calibration!AP76*nSD</f>
        <v>0.45096991767149286</v>
      </c>
      <c r="CA76" s="86">
        <f>10*LOG10(($O76+NseMeas!T_0+BZ76)/($O76+NseMeas!T_0))</f>
        <v>2.6878157133072068E-3</v>
      </c>
      <c r="CB76" s="4">
        <f t="shared" si="135"/>
        <v>31.962127505434633</v>
      </c>
      <c r="CC76" s="86">
        <f>10*LOG10(($O76+NseMeas!T_0+CB76)/($O76+NseMeas!T_0))</f>
        <v>0.18649360544435875</v>
      </c>
    </row>
    <row r="77" spans="1:81">
      <c r="A77" s="4">
        <f t="shared" si="136"/>
        <v>26.500001000000001</v>
      </c>
      <c r="B77" s="164">
        <f>T_0*(1+10^('Meas. Noise Std'!AA78/10))</f>
        <v>1207.0605214488303</v>
      </c>
      <c r="C77" s="164">
        <f t="shared" si="93"/>
        <v>298</v>
      </c>
      <c r="D77" s="86">
        <f t="shared" si="94"/>
        <v>298</v>
      </c>
      <c r="E77" s="164">
        <f>IF(UsePreamp,T_0*(10^(Preamp!AE78/10)-1),0)</f>
        <v>627.06052144883006</v>
      </c>
      <c r="F77" s="164">
        <f>T_0*(10^((FieldFox!B77-kT0dB)/10)-1)</f>
        <v>45411.676407373438</v>
      </c>
      <c r="G77" s="86">
        <f>IF(UsePreamp,10^(Preamp!AD78/10),1)</f>
        <v>199.06734581632566</v>
      </c>
      <c r="H77" s="86">
        <f>T_0*(10^(DUT!AE78/10)-1)</f>
        <v>438.4470651377784</v>
      </c>
      <c r="I77" s="86">
        <f>10^(DUT!AD78/10)</f>
        <v>100</v>
      </c>
      <c r="J77" s="87">
        <f t="shared" si="95"/>
        <v>1.622883020530872E-6</v>
      </c>
      <c r="K77" s="87">
        <f t="shared" si="96"/>
        <v>7.3095684618375027E-7</v>
      </c>
      <c r="L77" s="87">
        <f t="shared" si="97"/>
        <v>2.2529120191543056E-9</v>
      </c>
      <c r="M77" s="87">
        <f>IF(UseUserCal,Calibration!M77,0)</f>
        <v>6.1524142648784919E-9</v>
      </c>
      <c r="N77" s="87">
        <f>IF(UseUserCal,Calibration!L77,1)</f>
        <v>199.06734581632574</v>
      </c>
      <c r="O77" s="165">
        <f t="shared" si="98"/>
        <v>438.44706513777868</v>
      </c>
      <c r="P77" s="86">
        <f t="shared" si="99"/>
        <v>99.999999999999943</v>
      </c>
      <c r="Q77" s="170">
        <f t="shared" si="100"/>
        <v>1.1843093476168496E-6</v>
      </c>
      <c r="R77" s="87">
        <f t="shared" si="101"/>
        <v>4.3018303428114972E-7</v>
      </c>
      <c r="S77" s="87">
        <f t="shared" si="102"/>
        <v>1844875354.154526</v>
      </c>
      <c r="T77" s="87">
        <f t="shared" si="103"/>
        <v>825664854.90636683</v>
      </c>
      <c r="U77" s="87">
        <f t="shared" si="104"/>
        <v>0.81010238367386822</v>
      </c>
      <c r="V77" s="87">
        <f t="shared" si="105"/>
        <v>-1.8101023836738681</v>
      </c>
      <c r="W77" s="87">
        <f t="shared" si="106"/>
        <v>5.023425594485369E-5</v>
      </c>
      <c r="X77" s="87">
        <f t="shared" si="107"/>
        <v>1019210499.2481589</v>
      </c>
      <c r="Y77" s="86">
        <f>FieldFox!AG77</f>
        <v>0.1</v>
      </c>
      <c r="Z77" s="86">
        <f>FieldFox!AF77</f>
        <v>0.1</v>
      </c>
      <c r="AA77" s="86">
        <f>FieldFox!AH77</f>
        <v>0.1</v>
      </c>
      <c r="AB77" s="87">
        <f t="shared" si="108"/>
        <v>1.3389238540091567E-3</v>
      </c>
      <c r="AC77" s="87">
        <f t="shared" si="109"/>
        <v>1.3389238540091567E-3</v>
      </c>
      <c r="AD77" s="87">
        <f t="shared" si="110"/>
        <v>1.3389238540091567E-3</v>
      </c>
      <c r="AE77" s="87">
        <f>DUT!AF78</f>
        <v>0.2</v>
      </c>
      <c r="AF77" s="4">
        <f t="shared" si="111"/>
        <v>0.40853898265363492</v>
      </c>
      <c r="AG77" s="4">
        <f>'Meas. Noise Std'!AC78</f>
        <v>0.1</v>
      </c>
      <c r="AH77" s="4">
        <f>'Meas. Noise Std'!AD78</f>
        <v>1</v>
      </c>
      <c r="AI77" s="4">
        <f>DUT!AH78</f>
        <v>0</v>
      </c>
      <c r="AJ77" s="166">
        <f t="shared" si="112"/>
        <v>1.6341559306145403E-2</v>
      </c>
      <c r="AK77" s="166">
        <f t="shared" si="113"/>
        <v>0</v>
      </c>
      <c r="AL77" s="163">
        <f t="shared" si="137"/>
        <v>1.6341559306145403E-2</v>
      </c>
      <c r="AM77" s="4">
        <f t="shared" si="114"/>
        <v>0</v>
      </c>
      <c r="AN77" s="4">
        <f>DUT!AG78</f>
        <v>0.31622776601683794</v>
      </c>
      <c r="AO77" s="4">
        <f>IF(AND(UsePreamp,UseUserCal),Preamp!AF78,0)</f>
        <v>0.3981071705534972</v>
      </c>
      <c r="AP77" s="4">
        <f t="shared" si="115"/>
        <v>0.40853898265363492</v>
      </c>
      <c r="AQ77" s="88">
        <f t="shared" si="116"/>
        <v>1.8055713134491684</v>
      </c>
      <c r="AR77" s="88">
        <f t="shared" si="117"/>
        <v>0</v>
      </c>
      <c r="AS77" s="88">
        <f t="shared" si="138"/>
        <v>1.8055713134491684</v>
      </c>
      <c r="AT77" s="88">
        <f t="shared" si="118"/>
        <v>1.794101024863485</v>
      </c>
      <c r="AU77" s="88">
        <f t="shared" si="119"/>
        <v>15.979472932539238</v>
      </c>
      <c r="AV77" s="88">
        <f t="shared" si="139"/>
        <v>16.079874181384952</v>
      </c>
      <c r="AW77" s="88">
        <f>X77*Calibration!AT77*UseUserCal</f>
        <v>0.22843099786841564</v>
      </c>
      <c r="AX77" s="88">
        <f t="shared" si="120"/>
        <v>3.0744256849308269E-3</v>
      </c>
      <c r="AY77" s="167">
        <f t="shared" si="140"/>
        <v>0.22845168609675937</v>
      </c>
      <c r="AZ77" s="88">
        <f>U77*B77*(10^('Meas. Noise Std'!AB78/(ENRconf*10))-1)</f>
        <v>11.322883725670046</v>
      </c>
      <c r="BA77" s="88">
        <f t="shared" si="121"/>
        <v>0</v>
      </c>
      <c r="BB77" s="88">
        <f t="shared" si="122"/>
        <v>0</v>
      </c>
      <c r="BC77" s="88">
        <f t="shared" si="141"/>
        <v>0</v>
      </c>
      <c r="BD77" s="88">
        <f t="shared" si="123"/>
        <v>19.750501955521155</v>
      </c>
      <c r="BE77" s="4">
        <f t="shared" si="124"/>
        <v>39.501003911042311</v>
      </c>
      <c r="BF77" s="4">
        <f t="shared" si="125"/>
        <v>0.22933854830366102</v>
      </c>
      <c r="BG77" s="88">
        <f t="shared" si="126"/>
        <v>477.94806904882097</v>
      </c>
      <c r="BH77" s="88">
        <f t="shared" si="127"/>
        <v>398.94606122673639</v>
      </c>
      <c r="BI77" s="86">
        <f t="shared" si="128"/>
        <v>5.0907349989800315</v>
      </c>
      <c r="BJ77" s="86">
        <f>10*LOG10(($O77+NseMeas!T_0+BI77)/($O77+NseMeas!T_0))</f>
        <v>3.0245006045761878E-2</v>
      </c>
      <c r="BK77" s="86">
        <f t="shared" si="129"/>
        <v>31.958945865078476</v>
      </c>
      <c r="BL77" s="86">
        <f>10*LOG10(($O77+NseMeas!T_0+BK77)/($O77+NseMeas!T_0))</f>
        <v>0.18647543402094358</v>
      </c>
      <c r="BM77" s="86">
        <f t="shared" si="130"/>
        <v>22.645767451340092</v>
      </c>
      <c r="BN77" s="86">
        <f>10*LOG10(($O77+NseMeas!T_0+BM77)/($O77+NseMeas!T_0))</f>
        <v>0.13295619783758311</v>
      </c>
      <c r="BO77" s="86">
        <f t="shared" si="131"/>
        <v>0.45686199573683128</v>
      </c>
      <c r="BP77" s="86">
        <f>10*LOG10(($O77+NseMeas!T_0+BO77)/($O77+NseMeas!T_0))</f>
        <v>2.7229219493682755E-3</v>
      </c>
      <c r="BQ77" s="86">
        <f t="shared" si="132"/>
        <v>0</v>
      </c>
      <c r="BR77" s="86">
        <f>10*LOG10(($O77+NseMeas!T_0+BQ77)/($O77+NseMeas!T_0))</f>
        <v>0</v>
      </c>
      <c r="BT77" s="86">
        <f t="shared" si="133"/>
        <v>0</v>
      </c>
      <c r="BU77" s="86">
        <f>10*LOG10(($O77+NseMeas!T_0+BT77)/($O77+NseMeas!T_0))</f>
        <v>0</v>
      </c>
      <c r="BV77" s="86">
        <f t="shared" si="134"/>
        <v>31.958945865078476</v>
      </c>
      <c r="BW77" s="86">
        <f>10*LOG10(($O77+NseMeas!T_0+BV77)/($O77+NseMeas!T_0))</f>
        <v>0.18647543402094358</v>
      </c>
      <c r="BX77" s="175">
        <f>UseUserCal*X77*Calibration!AM77*nSD</f>
        <v>0</v>
      </c>
      <c r="BY77" s="86">
        <f>10*LOG10(($O77+NseMeas!T_0+BX77)/($O77+NseMeas!T_0))</f>
        <v>0</v>
      </c>
      <c r="BZ77" s="168">
        <f>UseUserCal*X77*Calibration!AP77*nSD</f>
        <v>0.45096991767149286</v>
      </c>
      <c r="CA77" s="86">
        <f>10*LOG10(($O77+NseMeas!T_0+BZ77)/($O77+NseMeas!T_0))</f>
        <v>2.6878157133072068E-3</v>
      </c>
      <c r="CB77" s="4">
        <f t="shared" si="135"/>
        <v>31.962127505434633</v>
      </c>
      <c r="CC77" s="86">
        <f>10*LOG10(($O77+NseMeas!T_0+CB77)/($O77+NseMeas!T_0))</f>
        <v>0.18649360544435875</v>
      </c>
    </row>
    <row r="78" spans="1:81">
      <c r="A78" s="4">
        <f t="shared" si="136"/>
        <v>26.500001000000001</v>
      </c>
      <c r="B78" s="164">
        <f>T_0*(1+10^('Meas. Noise Std'!AA79/10))</f>
        <v>1207.0605214488303</v>
      </c>
      <c r="C78" s="164">
        <f t="shared" si="93"/>
        <v>298</v>
      </c>
      <c r="D78" s="86">
        <f t="shared" si="94"/>
        <v>298</v>
      </c>
      <c r="E78" s="164">
        <f>IF(UsePreamp,T_0*(10^(Preamp!AE79/10)-1),0)</f>
        <v>627.06052144883006</v>
      </c>
      <c r="F78" s="164">
        <f>T_0*(10^((FieldFox!B78-kT0dB)/10)-1)</f>
        <v>45411.676407373438</v>
      </c>
      <c r="G78" s="86">
        <f>IF(UsePreamp,10^(Preamp!AD79/10),1)</f>
        <v>199.06734581632566</v>
      </c>
      <c r="H78" s="86">
        <f>T_0*(10^(DUT!AE79/10)-1)</f>
        <v>438.4470651377784</v>
      </c>
      <c r="I78" s="86">
        <f>10^(DUT!AD79/10)</f>
        <v>100</v>
      </c>
      <c r="J78" s="87">
        <f t="shared" si="95"/>
        <v>1.622883020530872E-6</v>
      </c>
      <c r="K78" s="87">
        <f t="shared" si="96"/>
        <v>7.3095684618375027E-7</v>
      </c>
      <c r="L78" s="87">
        <f t="shared" si="97"/>
        <v>2.2529120191543056E-9</v>
      </c>
      <c r="M78" s="87">
        <f>IF(UseUserCal,Calibration!M78,0)</f>
        <v>6.1524142648784919E-9</v>
      </c>
      <c r="N78" s="87">
        <f>IF(UseUserCal,Calibration!L78,1)</f>
        <v>199.06734581632574</v>
      </c>
      <c r="O78" s="165">
        <f t="shared" si="98"/>
        <v>438.44706513777868</v>
      </c>
      <c r="P78" s="86">
        <f t="shared" si="99"/>
        <v>99.999999999999943</v>
      </c>
      <c r="Q78" s="170">
        <f t="shared" si="100"/>
        <v>1.1843093476168496E-6</v>
      </c>
      <c r="R78" s="87">
        <f t="shared" si="101"/>
        <v>4.3018303428114972E-7</v>
      </c>
      <c r="S78" s="87">
        <f t="shared" si="102"/>
        <v>1844875354.154526</v>
      </c>
      <c r="T78" s="87">
        <f t="shared" si="103"/>
        <v>825664854.90636683</v>
      </c>
      <c r="U78" s="87">
        <f t="shared" si="104"/>
        <v>0.81010238367386822</v>
      </c>
      <c r="V78" s="87">
        <f t="shared" si="105"/>
        <v>-1.8101023836738681</v>
      </c>
      <c r="W78" s="87">
        <f t="shared" si="106"/>
        <v>5.023425594485369E-5</v>
      </c>
      <c r="X78" s="87">
        <f t="shared" si="107"/>
        <v>1019210499.2481589</v>
      </c>
      <c r="Y78" s="86">
        <f>FieldFox!AG78</f>
        <v>0.1</v>
      </c>
      <c r="Z78" s="86">
        <f>FieldFox!AF78</f>
        <v>0.1</v>
      </c>
      <c r="AA78" s="86">
        <f>FieldFox!AH78</f>
        <v>0.1</v>
      </c>
      <c r="AB78" s="87">
        <f t="shared" si="108"/>
        <v>1.3389238540091567E-3</v>
      </c>
      <c r="AC78" s="87">
        <f t="shared" si="109"/>
        <v>1.3389238540091567E-3</v>
      </c>
      <c r="AD78" s="87">
        <f t="shared" si="110"/>
        <v>1.3389238540091567E-3</v>
      </c>
      <c r="AE78" s="87">
        <f>DUT!AF79</f>
        <v>0.2</v>
      </c>
      <c r="AF78" s="4">
        <f t="shared" si="111"/>
        <v>0.40853898265363492</v>
      </c>
      <c r="AG78" s="4">
        <f>'Meas. Noise Std'!AC79</f>
        <v>0.1</v>
      </c>
      <c r="AH78" s="4">
        <f>'Meas. Noise Std'!AD79</f>
        <v>1</v>
      </c>
      <c r="AI78" s="4">
        <f>DUT!AH79</f>
        <v>0</v>
      </c>
      <c r="AJ78" s="166">
        <f t="shared" si="112"/>
        <v>1.6341559306145403E-2</v>
      </c>
      <c r="AK78" s="166">
        <f t="shared" si="113"/>
        <v>0</v>
      </c>
      <c r="AL78" s="163">
        <f t="shared" si="137"/>
        <v>1.6341559306145403E-2</v>
      </c>
      <c r="AM78" s="4">
        <f t="shared" si="114"/>
        <v>0</v>
      </c>
      <c r="AN78" s="4">
        <f>DUT!AG79</f>
        <v>0.31622776601683794</v>
      </c>
      <c r="AO78" s="4">
        <f>IF(AND(UsePreamp,UseUserCal),Preamp!AF79,0)</f>
        <v>0.3981071705534972</v>
      </c>
      <c r="AP78" s="4">
        <f t="shared" si="115"/>
        <v>0.40853898265363492</v>
      </c>
      <c r="AQ78" s="88">
        <f t="shared" si="116"/>
        <v>1.8055713134491684</v>
      </c>
      <c r="AR78" s="88">
        <f t="shared" si="117"/>
        <v>0</v>
      </c>
      <c r="AS78" s="88">
        <f t="shared" si="138"/>
        <v>1.8055713134491684</v>
      </c>
      <c r="AT78" s="88">
        <f t="shared" si="118"/>
        <v>1.794101024863485</v>
      </c>
      <c r="AU78" s="88">
        <f t="shared" si="119"/>
        <v>15.979472932539238</v>
      </c>
      <c r="AV78" s="88">
        <f t="shared" si="139"/>
        <v>16.079874181384952</v>
      </c>
      <c r="AW78" s="88">
        <f>X78*Calibration!AT78*UseUserCal</f>
        <v>0.22843099786841564</v>
      </c>
      <c r="AX78" s="88">
        <f t="shared" si="120"/>
        <v>3.0744256849308269E-3</v>
      </c>
      <c r="AY78" s="167">
        <f t="shared" si="140"/>
        <v>0.22845168609675937</v>
      </c>
      <c r="AZ78" s="88">
        <f>U78*B78*(10^('Meas. Noise Std'!AB79/(ENRconf*10))-1)</f>
        <v>11.322883725670046</v>
      </c>
      <c r="BA78" s="88">
        <f t="shared" si="121"/>
        <v>0</v>
      </c>
      <c r="BB78" s="88">
        <f t="shared" si="122"/>
        <v>0</v>
      </c>
      <c r="BC78" s="88">
        <f t="shared" si="141"/>
        <v>0</v>
      </c>
      <c r="BD78" s="88">
        <f t="shared" si="123"/>
        <v>19.750501955521155</v>
      </c>
      <c r="BE78" s="4">
        <f t="shared" si="124"/>
        <v>39.501003911042311</v>
      </c>
      <c r="BF78" s="4">
        <f t="shared" si="125"/>
        <v>0.22933854830366102</v>
      </c>
      <c r="BG78" s="88">
        <f t="shared" si="126"/>
        <v>477.94806904882097</v>
      </c>
      <c r="BH78" s="88">
        <f t="shared" si="127"/>
        <v>398.94606122673639</v>
      </c>
      <c r="BI78" s="86">
        <f t="shared" si="128"/>
        <v>5.0907349989800315</v>
      </c>
      <c r="BJ78" s="86">
        <f>10*LOG10(($O78+NseMeas!T_0+BI78)/($O78+NseMeas!T_0))</f>
        <v>3.0245006045761878E-2</v>
      </c>
      <c r="BK78" s="86">
        <f t="shared" si="129"/>
        <v>31.958945865078476</v>
      </c>
      <c r="BL78" s="86">
        <f>10*LOG10(($O78+NseMeas!T_0+BK78)/($O78+NseMeas!T_0))</f>
        <v>0.18647543402094358</v>
      </c>
      <c r="BM78" s="86">
        <f t="shared" si="130"/>
        <v>22.645767451340092</v>
      </c>
      <c r="BN78" s="86">
        <f>10*LOG10(($O78+NseMeas!T_0+BM78)/($O78+NseMeas!T_0))</f>
        <v>0.13295619783758311</v>
      </c>
      <c r="BO78" s="86">
        <f t="shared" si="131"/>
        <v>0.45686199573683128</v>
      </c>
      <c r="BP78" s="86">
        <f>10*LOG10(($O78+NseMeas!T_0+BO78)/($O78+NseMeas!T_0))</f>
        <v>2.7229219493682755E-3</v>
      </c>
      <c r="BQ78" s="86">
        <f t="shared" si="132"/>
        <v>0</v>
      </c>
      <c r="BR78" s="86">
        <f>10*LOG10(($O78+NseMeas!T_0+BQ78)/($O78+NseMeas!T_0))</f>
        <v>0</v>
      </c>
      <c r="BT78" s="86">
        <f t="shared" si="133"/>
        <v>0</v>
      </c>
      <c r="BU78" s="86">
        <f>10*LOG10(($O78+NseMeas!T_0+BT78)/($O78+NseMeas!T_0))</f>
        <v>0</v>
      </c>
      <c r="BV78" s="86">
        <f t="shared" si="134"/>
        <v>31.958945865078476</v>
      </c>
      <c r="BW78" s="86">
        <f>10*LOG10(($O78+NseMeas!T_0+BV78)/($O78+NseMeas!T_0))</f>
        <v>0.18647543402094358</v>
      </c>
      <c r="BX78" s="175">
        <f>UseUserCal*X78*Calibration!AM78*nSD</f>
        <v>0</v>
      </c>
      <c r="BY78" s="86">
        <f>10*LOG10(($O78+NseMeas!T_0+BX78)/($O78+NseMeas!T_0))</f>
        <v>0</v>
      </c>
      <c r="BZ78" s="168">
        <f>UseUserCal*X78*Calibration!AP78*nSD</f>
        <v>0.45096991767149286</v>
      </c>
      <c r="CA78" s="86">
        <f>10*LOG10(($O78+NseMeas!T_0+BZ78)/($O78+NseMeas!T_0))</f>
        <v>2.6878157133072068E-3</v>
      </c>
      <c r="CB78" s="4">
        <f t="shared" si="135"/>
        <v>31.962127505434633</v>
      </c>
      <c r="CC78" s="86">
        <f>10*LOG10(($O78+NseMeas!T_0+CB78)/($O78+NseMeas!T_0))</f>
        <v>0.18649360544435875</v>
      </c>
    </row>
    <row r="79" spans="1:81">
      <c r="A79" s="4">
        <f t="shared" si="136"/>
        <v>26.500001000000001</v>
      </c>
      <c r="B79" s="164">
        <f>T_0*(1+10^('Meas. Noise Std'!AA80/10))</f>
        <v>1207.0605214488303</v>
      </c>
      <c r="C79" s="164">
        <f t="shared" si="93"/>
        <v>298</v>
      </c>
      <c r="D79" s="86">
        <f t="shared" si="94"/>
        <v>298</v>
      </c>
      <c r="E79" s="164">
        <f>IF(UsePreamp,T_0*(10^(Preamp!AE80/10)-1),0)</f>
        <v>627.06052144883006</v>
      </c>
      <c r="F79" s="164">
        <f>T_0*(10^((FieldFox!B79-kT0dB)/10)-1)</f>
        <v>45411.676407373438</v>
      </c>
      <c r="G79" s="86">
        <f>IF(UsePreamp,10^(Preamp!AD80/10),1)</f>
        <v>199.06734581632566</v>
      </c>
      <c r="H79" s="86">
        <f>T_0*(10^(DUT!AE80/10)-1)</f>
        <v>438.4470651377784</v>
      </c>
      <c r="I79" s="86">
        <f>10^(DUT!AD80/10)</f>
        <v>100</v>
      </c>
      <c r="J79" s="87">
        <f t="shared" si="95"/>
        <v>1.622883020530872E-6</v>
      </c>
      <c r="K79" s="87">
        <f t="shared" si="96"/>
        <v>7.3095684618375027E-7</v>
      </c>
      <c r="L79" s="87">
        <f t="shared" si="97"/>
        <v>2.2529120191543056E-9</v>
      </c>
      <c r="M79" s="87">
        <f>IF(UseUserCal,Calibration!M79,0)</f>
        <v>6.1524142648784919E-9</v>
      </c>
      <c r="N79" s="87">
        <f>IF(UseUserCal,Calibration!L79,1)</f>
        <v>199.06734581632574</v>
      </c>
      <c r="O79" s="165">
        <f t="shared" si="98"/>
        <v>438.44706513777868</v>
      </c>
      <c r="P79" s="86">
        <f t="shared" si="99"/>
        <v>99.999999999999943</v>
      </c>
      <c r="Q79" s="170">
        <f t="shared" si="100"/>
        <v>1.1843093476168496E-6</v>
      </c>
      <c r="R79" s="87">
        <f t="shared" si="101"/>
        <v>4.3018303428114972E-7</v>
      </c>
      <c r="S79" s="87">
        <f t="shared" si="102"/>
        <v>1844875354.154526</v>
      </c>
      <c r="T79" s="87">
        <f t="shared" si="103"/>
        <v>825664854.90636683</v>
      </c>
      <c r="U79" s="87">
        <f t="shared" si="104"/>
        <v>0.81010238367386822</v>
      </c>
      <c r="V79" s="87">
        <f t="shared" si="105"/>
        <v>-1.8101023836738681</v>
      </c>
      <c r="W79" s="87">
        <f t="shared" si="106"/>
        <v>5.023425594485369E-5</v>
      </c>
      <c r="X79" s="87">
        <f t="shared" si="107"/>
        <v>1019210499.2481589</v>
      </c>
      <c r="Y79" s="86">
        <f>FieldFox!AG79</f>
        <v>0.1</v>
      </c>
      <c r="Z79" s="86">
        <f>FieldFox!AF79</f>
        <v>0.1</v>
      </c>
      <c r="AA79" s="86">
        <f>FieldFox!AH79</f>
        <v>0.1</v>
      </c>
      <c r="AB79" s="87">
        <f t="shared" si="108"/>
        <v>1.3389238540091567E-3</v>
      </c>
      <c r="AC79" s="87">
        <f t="shared" si="109"/>
        <v>1.3389238540091567E-3</v>
      </c>
      <c r="AD79" s="87">
        <f t="shared" si="110"/>
        <v>1.3389238540091567E-3</v>
      </c>
      <c r="AE79" s="87">
        <f>DUT!AF80</f>
        <v>0.2</v>
      </c>
      <c r="AF79" s="4">
        <f t="shared" si="111"/>
        <v>0.40853898265363492</v>
      </c>
      <c r="AG79" s="4">
        <f>'Meas. Noise Std'!AC80</f>
        <v>0.1</v>
      </c>
      <c r="AH79" s="4">
        <f>'Meas. Noise Std'!AD80</f>
        <v>1</v>
      </c>
      <c r="AI79" s="4">
        <f>DUT!AH80</f>
        <v>0</v>
      </c>
      <c r="AJ79" s="166">
        <f t="shared" si="112"/>
        <v>1.6341559306145403E-2</v>
      </c>
      <c r="AK79" s="166">
        <f t="shared" si="113"/>
        <v>0</v>
      </c>
      <c r="AL79" s="163">
        <f t="shared" si="137"/>
        <v>1.6341559306145403E-2</v>
      </c>
      <c r="AM79" s="4">
        <f t="shared" si="114"/>
        <v>0</v>
      </c>
      <c r="AN79" s="4">
        <f>DUT!AG80</f>
        <v>0.31622776601683794</v>
      </c>
      <c r="AO79" s="4">
        <f>IF(AND(UsePreamp,UseUserCal),Preamp!AF80,0)</f>
        <v>0.3981071705534972</v>
      </c>
      <c r="AP79" s="4">
        <f t="shared" si="115"/>
        <v>0.40853898265363492</v>
      </c>
      <c r="AQ79" s="88">
        <f t="shared" si="116"/>
        <v>1.8055713134491684</v>
      </c>
      <c r="AR79" s="88">
        <f t="shared" si="117"/>
        <v>0</v>
      </c>
      <c r="AS79" s="88">
        <f t="shared" si="138"/>
        <v>1.8055713134491684</v>
      </c>
      <c r="AT79" s="88">
        <f t="shared" si="118"/>
        <v>1.794101024863485</v>
      </c>
      <c r="AU79" s="88">
        <f t="shared" si="119"/>
        <v>15.979472932539238</v>
      </c>
      <c r="AV79" s="88">
        <f t="shared" si="139"/>
        <v>16.079874181384952</v>
      </c>
      <c r="AW79" s="88">
        <f>X79*Calibration!AT79*UseUserCal</f>
        <v>0.22843099786841564</v>
      </c>
      <c r="AX79" s="88">
        <f t="shared" si="120"/>
        <v>3.0744256849308269E-3</v>
      </c>
      <c r="AY79" s="167">
        <f t="shared" si="140"/>
        <v>0.22845168609675937</v>
      </c>
      <c r="AZ79" s="88">
        <f>U79*B79*(10^('Meas. Noise Std'!AB80/(ENRconf*10))-1)</f>
        <v>11.322883725670046</v>
      </c>
      <c r="BA79" s="88">
        <f t="shared" si="121"/>
        <v>0</v>
      </c>
      <c r="BB79" s="88">
        <f t="shared" si="122"/>
        <v>0</v>
      </c>
      <c r="BC79" s="88">
        <f t="shared" si="141"/>
        <v>0</v>
      </c>
      <c r="BD79" s="88">
        <f t="shared" si="123"/>
        <v>19.750501955521155</v>
      </c>
      <c r="BE79" s="4">
        <f t="shared" si="124"/>
        <v>39.501003911042311</v>
      </c>
      <c r="BF79" s="4">
        <f t="shared" si="125"/>
        <v>0.22933854830366102</v>
      </c>
      <c r="BG79" s="88">
        <f t="shared" si="126"/>
        <v>477.94806904882097</v>
      </c>
      <c r="BH79" s="88">
        <f t="shared" si="127"/>
        <v>398.94606122673639</v>
      </c>
      <c r="BI79" s="86">
        <f t="shared" si="128"/>
        <v>5.0907349989800315</v>
      </c>
      <c r="BJ79" s="86">
        <f>10*LOG10(($O79+NseMeas!T_0+BI79)/($O79+NseMeas!T_0))</f>
        <v>3.0245006045761878E-2</v>
      </c>
      <c r="BK79" s="86">
        <f t="shared" si="129"/>
        <v>31.958945865078476</v>
      </c>
      <c r="BL79" s="86">
        <f>10*LOG10(($O79+NseMeas!T_0+BK79)/($O79+NseMeas!T_0))</f>
        <v>0.18647543402094358</v>
      </c>
      <c r="BM79" s="86">
        <f t="shared" si="130"/>
        <v>22.645767451340092</v>
      </c>
      <c r="BN79" s="86">
        <f>10*LOG10(($O79+NseMeas!T_0+BM79)/($O79+NseMeas!T_0))</f>
        <v>0.13295619783758311</v>
      </c>
      <c r="BO79" s="86">
        <f t="shared" si="131"/>
        <v>0.45686199573683128</v>
      </c>
      <c r="BP79" s="86">
        <f>10*LOG10(($O79+NseMeas!T_0+BO79)/($O79+NseMeas!T_0))</f>
        <v>2.7229219493682755E-3</v>
      </c>
      <c r="BQ79" s="86">
        <f t="shared" si="132"/>
        <v>0</v>
      </c>
      <c r="BR79" s="86">
        <f>10*LOG10(($O79+NseMeas!T_0+BQ79)/($O79+NseMeas!T_0))</f>
        <v>0</v>
      </c>
      <c r="BT79" s="86">
        <f t="shared" si="133"/>
        <v>0</v>
      </c>
      <c r="BU79" s="86">
        <f>10*LOG10(($O79+NseMeas!T_0+BT79)/($O79+NseMeas!T_0))</f>
        <v>0</v>
      </c>
      <c r="BV79" s="86">
        <f t="shared" si="134"/>
        <v>31.958945865078476</v>
      </c>
      <c r="BW79" s="86">
        <f>10*LOG10(($O79+NseMeas!T_0+BV79)/($O79+NseMeas!T_0))</f>
        <v>0.18647543402094358</v>
      </c>
      <c r="BX79" s="175">
        <f>UseUserCal*X79*Calibration!AM79*nSD</f>
        <v>0</v>
      </c>
      <c r="BY79" s="86">
        <f>10*LOG10(($O79+NseMeas!T_0+BX79)/($O79+NseMeas!T_0))</f>
        <v>0</v>
      </c>
      <c r="BZ79" s="168">
        <f>UseUserCal*X79*Calibration!AP79*nSD</f>
        <v>0.45096991767149286</v>
      </c>
      <c r="CA79" s="86">
        <f>10*LOG10(($O79+NseMeas!T_0+BZ79)/($O79+NseMeas!T_0))</f>
        <v>2.6878157133072068E-3</v>
      </c>
      <c r="CB79" s="4">
        <f t="shared" si="135"/>
        <v>31.962127505434633</v>
      </c>
      <c r="CC79" s="86">
        <f>10*LOG10(($O79+NseMeas!T_0+CB79)/($O79+NseMeas!T_0))</f>
        <v>0.18649360544435875</v>
      </c>
    </row>
    <row r="80" spans="1:81">
      <c r="A80" s="4">
        <f t="shared" si="136"/>
        <v>26.500001000000001</v>
      </c>
      <c r="B80" s="164">
        <f>T_0*(1+10^('Meas. Noise Std'!AA81/10))</f>
        <v>1207.0605214488303</v>
      </c>
      <c r="C80" s="164">
        <f t="shared" si="93"/>
        <v>298</v>
      </c>
      <c r="D80" s="86">
        <f t="shared" si="94"/>
        <v>298</v>
      </c>
      <c r="E80" s="164">
        <f>IF(UsePreamp,T_0*(10^(Preamp!AE81/10)-1),0)</f>
        <v>627.06052144883006</v>
      </c>
      <c r="F80" s="164">
        <f>T_0*(10^((FieldFox!B80-kT0dB)/10)-1)</f>
        <v>45411.676407373438</v>
      </c>
      <c r="G80" s="86">
        <f>IF(UsePreamp,10^(Preamp!AD81/10),1)</f>
        <v>199.06734581632566</v>
      </c>
      <c r="H80" s="86">
        <f>T_0*(10^(DUT!AE81/10)-1)</f>
        <v>438.4470651377784</v>
      </c>
      <c r="I80" s="86">
        <f>10^(DUT!AD81/10)</f>
        <v>100</v>
      </c>
      <c r="J80" s="87">
        <f t="shared" si="95"/>
        <v>1.622883020530872E-6</v>
      </c>
      <c r="K80" s="87">
        <f t="shared" si="96"/>
        <v>7.3095684618375027E-7</v>
      </c>
      <c r="L80" s="87">
        <f t="shared" si="97"/>
        <v>2.2529120191543056E-9</v>
      </c>
      <c r="M80" s="87">
        <f>IF(UseUserCal,Calibration!M80,0)</f>
        <v>6.1524142648784919E-9</v>
      </c>
      <c r="N80" s="87">
        <f>IF(UseUserCal,Calibration!L80,1)</f>
        <v>199.06734581632574</v>
      </c>
      <c r="O80" s="165">
        <f t="shared" si="98"/>
        <v>438.44706513777868</v>
      </c>
      <c r="P80" s="86">
        <f t="shared" si="99"/>
        <v>99.999999999999943</v>
      </c>
      <c r="Q80" s="170">
        <f t="shared" si="100"/>
        <v>1.1843093476168496E-6</v>
      </c>
      <c r="R80" s="87">
        <f t="shared" si="101"/>
        <v>4.3018303428114972E-7</v>
      </c>
      <c r="S80" s="87">
        <f t="shared" si="102"/>
        <v>1844875354.154526</v>
      </c>
      <c r="T80" s="87">
        <f t="shared" si="103"/>
        <v>825664854.90636683</v>
      </c>
      <c r="U80" s="87">
        <f t="shared" si="104"/>
        <v>0.81010238367386822</v>
      </c>
      <c r="V80" s="87">
        <f t="shared" si="105"/>
        <v>-1.8101023836738681</v>
      </c>
      <c r="W80" s="87">
        <f t="shared" si="106"/>
        <v>5.023425594485369E-5</v>
      </c>
      <c r="X80" s="87">
        <f t="shared" si="107"/>
        <v>1019210499.2481589</v>
      </c>
      <c r="Y80" s="86">
        <f>FieldFox!AG80</f>
        <v>0.1</v>
      </c>
      <c r="Z80" s="86">
        <f>FieldFox!AF80</f>
        <v>0.1</v>
      </c>
      <c r="AA80" s="86">
        <f>FieldFox!AH80</f>
        <v>0.1</v>
      </c>
      <c r="AB80" s="87">
        <f t="shared" si="108"/>
        <v>1.3389238540091567E-3</v>
      </c>
      <c r="AC80" s="87">
        <f t="shared" si="109"/>
        <v>1.3389238540091567E-3</v>
      </c>
      <c r="AD80" s="87">
        <f t="shared" si="110"/>
        <v>1.3389238540091567E-3</v>
      </c>
      <c r="AE80" s="87">
        <f>DUT!AF81</f>
        <v>0.2</v>
      </c>
      <c r="AF80" s="4">
        <f t="shared" si="111"/>
        <v>0.40853898265363492</v>
      </c>
      <c r="AG80" s="4">
        <f>'Meas. Noise Std'!AC81</f>
        <v>0.1</v>
      </c>
      <c r="AH80" s="4">
        <f>'Meas. Noise Std'!AD81</f>
        <v>1</v>
      </c>
      <c r="AI80" s="4">
        <f>DUT!AH81</f>
        <v>0</v>
      </c>
      <c r="AJ80" s="166">
        <f t="shared" si="112"/>
        <v>1.6341559306145403E-2</v>
      </c>
      <c r="AK80" s="166">
        <f t="shared" si="113"/>
        <v>0</v>
      </c>
      <c r="AL80" s="163">
        <f t="shared" si="137"/>
        <v>1.6341559306145403E-2</v>
      </c>
      <c r="AM80" s="4">
        <f t="shared" si="114"/>
        <v>0</v>
      </c>
      <c r="AN80" s="4">
        <f>DUT!AG81</f>
        <v>0.31622776601683794</v>
      </c>
      <c r="AO80" s="4">
        <f>IF(AND(UsePreamp,UseUserCal),Preamp!AF81,0)</f>
        <v>0.3981071705534972</v>
      </c>
      <c r="AP80" s="4">
        <f t="shared" si="115"/>
        <v>0.40853898265363492</v>
      </c>
      <c r="AQ80" s="88">
        <f t="shared" si="116"/>
        <v>1.8055713134491684</v>
      </c>
      <c r="AR80" s="88">
        <f t="shared" si="117"/>
        <v>0</v>
      </c>
      <c r="AS80" s="88">
        <f t="shared" si="138"/>
        <v>1.8055713134491684</v>
      </c>
      <c r="AT80" s="88">
        <f t="shared" si="118"/>
        <v>1.794101024863485</v>
      </c>
      <c r="AU80" s="88">
        <f t="shared" si="119"/>
        <v>15.979472932539238</v>
      </c>
      <c r="AV80" s="88">
        <f t="shared" si="139"/>
        <v>16.079874181384952</v>
      </c>
      <c r="AW80" s="88">
        <f>X80*Calibration!AT80*UseUserCal</f>
        <v>0.22843099786841564</v>
      </c>
      <c r="AX80" s="88">
        <f t="shared" si="120"/>
        <v>3.0744256849308269E-3</v>
      </c>
      <c r="AY80" s="167">
        <f t="shared" si="140"/>
        <v>0.22845168609675937</v>
      </c>
      <c r="AZ80" s="88">
        <f>U80*B80*(10^('Meas. Noise Std'!AB81/(ENRconf*10))-1)</f>
        <v>11.322883725670046</v>
      </c>
      <c r="BA80" s="88">
        <f t="shared" si="121"/>
        <v>0</v>
      </c>
      <c r="BB80" s="88">
        <f t="shared" si="122"/>
        <v>0</v>
      </c>
      <c r="BC80" s="88">
        <f t="shared" si="141"/>
        <v>0</v>
      </c>
      <c r="BD80" s="88">
        <f t="shared" si="123"/>
        <v>19.750501955521155</v>
      </c>
      <c r="BE80" s="4">
        <f t="shared" si="124"/>
        <v>39.501003911042311</v>
      </c>
      <c r="BF80" s="4">
        <f t="shared" si="125"/>
        <v>0.22933854830366102</v>
      </c>
      <c r="BG80" s="88">
        <f t="shared" si="126"/>
        <v>477.94806904882097</v>
      </c>
      <c r="BH80" s="88">
        <f t="shared" si="127"/>
        <v>398.94606122673639</v>
      </c>
      <c r="BI80" s="86">
        <f t="shared" si="128"/>
        <v>5.0907349989800315</v>
      </c>
      <c r="BJ80" s="86">
        <f>10*LOG10(($O80+NseMeas!T_0+BI80)/($O80+NseMeas!T_0))</f>
        <v>3.0245006045761878E-2</v>
      </c>
      <c r="BK80" s="86">
        <f t="shared" si="129"/>
        <v>31.958945865078476</v>
      </c>
      <c r="BL80" s="86">
        <f>10*LOG10(($O80+NseMeas!T_0+BK80)/($O80+NseMeas!T_0))</f>
        <v>0.18647543402094358</v>
      </c>
      <c r="BM80" s="86">
        <f t="shared" si="130"/>
        <v>22.645767451340092</v>
      </c>
      <c r="BN80" s="86">
        <f>10*LOG10(($O80+NseMeas!T_0+BM80)/($O80+NseMeas!T_0))</f>
        <v>0.13295619783758311</v>
      </c>
      <c r="BO80" s="86">
        <f t="shared" si="131"/>
        <v>0.45686199573683128</v>
      </c>
      <c r="BP80" s="86">
        <f>10*LOG10(($O80+NseMeas!T_0+BO80)/($O80+NseMeas!T_0))</f>
        <v>2.7229219493682755E-3</v>
      </c>
      <c r="BQ80" s="86">
        <f t="shared" si="132"/>
        <v>0</v>
      </c>
      <c r="BR80" s="86">
        <f>10*LOG10(($O80+NseMeas!T_0+BQ80)/($O80+NseMeas!T_0))</f>
        <v>0</v>
      </c>
      <c r="BT80" s="86">
        <f t="shared" si="133"/>
        <v>0</v>
      </c>
      <c r="BU80" s="86">
        <f>10*LOG10(($O80+NseMeas!T_0+BT80)/($O80+NseMeas!T_0))</f>
        <v>0</v>
      </c>
      <c r="BV80" s="86">
        <f t="shared" si="134"/>
        <v>31.958945865078476</v>
      </c>
      <c r="BW80" s="86">
        <f>10*LOG10(($O80+NseMeas!T_0+BV80)/($O80+NseMeas!T_0))</f>
        <v>0.18647543402094358</v>
      </c>
      <c r="BX80" s="175">
        <f>UseUserCal*X80*Calibration!AM80*nSD</f>
        <v>0</v>
      </c>
      <c r="BY80" s="86">
        <f>10*LOG10(($O80+NseMeas!T_0+BX80)/($O80+NseMeas!T_0))</f>
        <v>0</v>
      </c>
      <c r="BZ80" s="168">
        <f>UseUserCal*X80*Calibration!AP80*nSD</f>
        <v>0.45096991767149286</v>
      </c>
      <c r="CA80" s="86">
        <f>10*LOG10(($O80+NseMeas!T_0+BZ80)/($O80+NseMeas!T_0))</f>
        <v>2.6878157133072068E-3</v>
      </c>
      <c r="CB80" s="4">
        <f t="shared" si="135"/>
        <v>31.962127505434633</v>
      </c>
      <c r="CC80" s="86">
        <f>10*LOG10(($O80+NseMeas!T_0+CB80)/($O80+NseMeas!T_0))</f>
        <v>0.18649360544435875</v>
      </c>
    </row>
    <row r="81" spans="1:81">
      <c r="A81" s="4">
        <f t="shared" si="136"/>
        <v>26.500001000000001</v>
      </c>
      <c r="B81" s="164">
        <f>T_0*(1+10^('Meas. Noise Std'!AA82/10))</f>
        <v>1207.0605214488303</v>
      </c>
      <c r="C81" s="164">
        <f t="shared" si="93"/>
        <v>298</v>
      </c>
      <c r="D81" s="86">
        <f t="shared" si="94"/>
        <v>298</v>
      </c>
      <c r="E81" s="164">
        <f>IF(UsePreamp,T_0*(10^(Preamp!AE82/10)-1),0)</f>
        <v>627.06052144883006</v>
      </c>
      <c r="F81" s="164">
        <f>T_0*(10^((FieldFox!B81-kT0dB)/10)-1)</f>
        <v>45411.676407373438</v>
      </c>
      <c r="G81" s="86">
        <f>IF(UsePreamp,10^(Preamp!AD82/10),1)</f>
        <v>199.06734581632566</v>
      </c>
      <c r="H81" s="86">
        <f>T_0*(10^(DUT!AE82/10)-1)</f>
        <v>438.4470651377784</v>
      </c>
      <c r="I81" s="86">
        <f>10^(DUT!AD82/10)</f>
        <v>100</v>
      </c>
      <c r="J81" s="87">
        <f t="shared" si="95"/>
        <v>1.622883020530872E-6</v>
      </c>
      <c r="K81" s="87">
        <f t="shared" si="96"/>
        <v>7.3095684618375027E-7</v>
      </c>
      <c r="L81" s="87">
        <f t="shared" si="97"/>
        <v>2.2529120191543056E-9</v>
      </c>
      <c r="M81" s="87">
        <f>IF(UseUserCal,Calibration!M81,0)</f>
        <v>6.1524142648784919E-9</v>
      </c>
      <c r="N81" s="87">
        <f>IF(UseUserCal,Calibration!L81,1)</f>
        <v>199.06734581632574</v>
      </c>
      <c r="O81" s="165">
        <f t="shared" si="98"/>
        <v>438.44706513777868</v>
      </c>
      <c r="P81" s="86">
        <f t="shared" si="99"/>
        <v>99.999999999999943</v>
      </c>
      <c r="Q81" s="170">
        <f t="shared" si="100"/>
        <v>1.1843093476168496E-6</v>
      </c>
      <c r="R81" s="87">
        <f t="shared" si="101"/>
        <v>4.3018303428114972E-7</v>
      </c>
      <c r="S81" s="87">
        <f t="shared" si="102"/>
        <v>1844875354.154526</v>
      </c>
      <c r="T81" s="87">
        <f t="shared" si="103"/>
        <v>825664854.90636683</v>
      </c>
      <c r="U81" s="87">
        <f t="shared" si="104"/>
        <v>0.81010238367386822</v>
      </c>
      <c r="V81" s="87">
        <f t="shared" si="105"/>
        <v>-1.8101023836738681</v>
      </c>
      <c r="W81" s="87">
        <f t="shared" si="106"/>
        <v>5.023425594485369E-5</v>
      </c>
      <c r="X81" s="87">
        <f t="shared" si="107"/>
        <v>1019210499.2481589</v>
      </c>
      <c r="Y81" s="86">
        <f>FieldFox!AG81</f>
        <v>0.1</v>
      </c>
      <c r="Z81" s="86">
        <f>FieldFox!AF81</f>
        <v>0.1</v>
      </c>
      <c r="AA81" s="86">
        <f>FieldFox!AH81</f>
        <v>0.1</v>
      </c>
      <c r="AB81" s="87">
        <f t="shared" si="108"/>
        <v>1.3389238540091567E-3</v>
      </c>
      <c r="AC81" s="87">
        <f t="shared" si="109"/>
        <v>1.3389238540091567E-3</v>
      </c>
      <c r="AD81" s="87">
        <f t="shared" si="110"/>
        <v>1.3389238540091567E-3</v>
      </c>
      <c r="AE81" s="87">
        <f>DUT!AF82</f>
        <v>0.2</v>
      </c>
      <c r="AF81" s="4">
        <f t="shared" si="111"/>
        <v>0.40853898265363492</v>
      </c>
      <c r="AG81" s="4">
        <f>'Meas. Noise Std'!AC82</f>
        <v>0.1</v>
      </c>
      <c r="AH81" s="4">
        <f>'Meas. Noise Std'!AD82</f>
        <v>1</v>
      </c>
      <c r="AI81" s="4">
        <f>DUT!AH82</f>
        <v>0</v>
      </c>
      <c r="AJ81" s="166">
        <f t="shared" si="112"/>
        <v>1.6341559306145403E-2</v>
      </c>
      <c r="AK81" s="166">
        <f t="shared" si="113"/>
        <v>0</v>
      </c>
      <c r="AL81" s="163">
        <f t="shared" si="137"/>
        <v>1.6341559306145403E-2</v>
      </c>
      <c r="AM81" s="4">
        <f t="shared" si="114"/>
        <v>0</v>
      </c>
      <c r="AN81" s="4">
        <f>DUT!AG82</f>
        <v>0.31622776601683794</v>
      </c>
      <c r="AO81" s="4">
        <f>IF(AND(UsePreamp,UseUserCal),Preamp!AF82,0)</f>
        <v>0.3981071705534972</v>
      </c>
      <c r="AP81" s="4">
        <f t="shared" si="115"/>
        <v>0.40853898265363492</v>
      </c>
      <c r="AQ81" s="88">
        <f t="shared" si="116"/>
        <v>1.8055713134491684</v>
      </c>
      <c r="AR81" s="88">
        <f t="shared" si="117"/>
        <v>0</v>
      </c>
      <c r="AS81" s="88">
        <f t="shared" si="138"/>
        <v>1.8055713134491684</v>
      </c>
      <c r="AT81" s="88">
        <f t="shared" si="118"/>
        <v>1.794101024863485</v>
      </c>
      <c r="AU81" s="88">
        <f t="shared" si="119"/>
        <v>15.979472932539238</v>
      </c>
      <c r="AV81" s="88">
        <f t="shared" si="139"/>
        <v>16.079874181384952</v>
      </c>
      <c r="AW81" s="88">
        <f>X81*Calibration!AT81*UseUserCal</f>
        <v>0.22843099786841564</v>
      </c>
      <c r="AX81" s="88">
        <f t="shared" si="120"/>
        <v>3.0744256849308269E-3</v>
      </c>
      <c r="AY81" s="167">
        <f t="shared" si="140"/>
        <v>0.22845168609675937</v>
      </c>
      <c r="AZ81" s="88">
        <f>U81*B81*(10^('Meas. Noise Std'!AB82/(ENRconf*10))-1)</f>
        <v>11.322883725670046</v>
      </c>
      <c r="BA81" s="88">
        <f t="shared" si="121"/>
        <v>0</v>
      </c>
      <c r="BB81" s="88">
        <f t="shared" si="122"/>
        <v>0</v>
      </c>
      <c r="BC81" s="88">
        <f t="shared" si="141"/>
        <v>0</v>
      </c>
      <c r="BD81" s="88">
        <f t="shared" si="123"/>
        <v>19.750501955521155</v>
      </c>
      <c r="BE81" s="4">
        <f t="shared" si="124"/>
        <v>39.501003911042311</v>
      </c>
      <c r="BF81" s="4">
        <f t="shared" si="125"/>
        <v>0.22933854830366102</v>
      </c>
      <c r="BG81" s="88">
        <f t="shared" si="126"/>
        <v>477.94806904882097</v>
      </c>
      <c r="BH81" s="88">
        <f t="shared" si="127"/>
        <v>398.94606122673639</v>
      </c>
      <c r="BI81" s="86">
        <f t="shared" si="128"/>
        <v>5.0907349989800315</v>
      </c>
      <c r="BJ81" s="86">
        <f>10*LOG10(($O81+NseMeas!T_0+BI81)/($O81+NseMeas!T_0))</f>
        <v>3.0245006045761878E-2</v>
      </c>
      <c r="BK81" s="86">
        <f t="shared" si="129"/>
        <v>31.958945865078476</v>
      </c>
      <c r="BL81" s="86">
        <f>10*LOG10(($O81+NseMeas!T_0+BK81)/($O81+NseMeas!T_0))</f>
        <v>0.18647543402094358</v>
      </c>
      <c r="BM81" s="86">
        <f t="shared" si="130"/>
        <v>22.645767451340092</v>
      </c>
      <c r="BN81" s="86">
        <f>10*LOG10(($O81+NseMeas!T_0+BM81)/($O81+NseMeas!T_0))</f>
        <v>0.13295619783758311</v>
      </c>
      <c r="BO81" s="86">
        <f t="shared" si="131"/>
        <v>0.45686199573683128</v>
      </c>
      <c r="BP81" s="86">
        <f>10*LOG10(($O81+NseMeas!T_0+BO81)/($O81+NseMeas!T_0))</f>
        <v>2.7229219493682755E-3</v>
      </c>
      <c r="BQ81" s="86">
        <f t="shared" si="132"/>
        <v>0</v>
      </c>
      <c r="BR81" s="86">
        <f>10*LOG10(($O81+NseMeas!T_0+BQ81)/($O81+NseMeas!T_0))</f>
        <v>0</v>
      </c>
      <c r="BT81" s="86">
        <f t="shared" si="133"/>
        <v>0</v>
      </c>
      <c r="BU81" s="86">
        <f>10*LOG10(($O81+NseMeas!T_0+BT81)/($O81+NseMeas!T_0))</f>
        <v>0</v>
      </c>
      <c r="BV81" s="86">
        <f t="shared" si="134"/>
        <v>31.958945865078476</v>
      </c>
      <c r="BW81" s="86">
        <f>10*LOG10(($O81+NseMeas!T_0+BV81)/($O81+NseMeas!T_0))</f>
        <v>0.18647543402094358</v>
      </c>
      <c r="BX81" s="175">
        <f>UseUserCal*X81*Calibration!AM81*nSD</f>
        <v>0</v>
      </c>
      <c r="BY81" s="86">
        <f>10*LOG10(($O81+NseMeas!T_0+BX81)/($O81+NseMeas!T_0))</f>
        <v>0</v>
      </c>
      <c r="BZ81" s="168">
        <f>UseUserCal*X81*Calibration!AP81*nSD</f>
        <v>0.45096991767149286</v>
      </c>
      <c r="CA81" s="86">
        <f>10*LOG10(($O81+NseMeas!T_0+BZ81)/($O81+NseMeas!T_0))</f>
        <v>2.6878157133072068E-3</v>
      </c>
      <c r="CB81" s="4">
        <f t="shared" si="135"/>
        <v>31.962127505434633</v>
      </c>
      <c r="CC81" s="86">
        <f>10*LOG10(($O81+NseMeas!T_0+CB81)/($O81+NseMeas!T_0))</f>
        <v>0.18649360544435875</v>
      </c>
    </row>
    <row r="82" spans="1:81">
      <c r="A82" s="4">
        <f t="shared" si="136"/>
        <v>26.500001000000001</v>
      </c>
      <c r="B82" s="164">
        <f>T_0*(1+10^('Meas. Noise Std'!AA83/10))</f>
        <v>1207.0605214488303</v>
      </c>
      <c r="C82" s="164">
        <f t="shared" si="93"/>
        <v>298</v>
      </c>
      <c r="D82" s="86">
        <f t="shared" si="94"/>
        <v>298</v>
      </c>
      <c r="E82" s="164">
        <f>IF(UsePreamp,T_0*(10^(Preamp!AE83/10)-1),0)</f>
        <v>627.06052144883006</v>
      </c>
      <c r="F82" s="164">
        <f>T_0*(10^((FieldFox!B82-kT0dB)/10)-1)</f>
        <v>45411.676407373438</v>
      </c>
      <c r="G82" s="86">
        <f>IF(UsePreamp,10^(Preamp!AD83/10),1)</f>
        <v>199.06734581632566</v>
      </c>
      <c r="H82" s="86">
        <f>T_0*(10^(DUT!AE83/10)-1)</f>
        <v>438.4470651377784</v>
      </c>
      <c r="I82" s="86">
        <f>10^(DUT!AD83/10)</f>
        <v>100</v>
      </c>
      <c r="J82" s="87">
        <f t="shared" si="95"/>
        <v>1.622883020530872E-6</v>
      </c>
      <c r="K82" s="87">
        <f t="shared" si="96"/>
        <v>7.3095684618375027E-7</v>
      </c>
      <c r="L82" s="87">
        <f t="shared" si="97"/>
        <v>2.2529120191543056E-9</v>
      </c>
      <c r="M82" s="87">
        <f>IF(UseUserCal,Calibration!M82,0)</f>
        <v>6.1524142648784919E-9</v>
      </c>
      <c r="N82" s="87">
        <f>IF(UseUserCal,Calibration!L82,1)</f>
        <v>199.06734581632574</v>
      </c>
      <c r="O82" s="165">
        <f t="shared" si="98"/>
        <v>438.44706513777868</v>
      </c>
      <c r="P82" s="86">
        <f t="shared" si="99"/>
        <v>99.999999999999943</v>
      </c>
      <c r="Q82" s="170">
        <f t="shared" si="100"/>
        <v>1.1843093476168496E-6</v>
      </c>
      <c r="R82" s="87">
        <f t="shared" si="101"/>
        <v>4.3018303428114972E-7</v>
      </c>
      <c r="S82" s="87">
        <f t="shared" si="102"/>
        <v>1844875354.154526</v>
      </c>
      <c r="T82" s="87">
        <f t="shared" si="103"/>
        <v>825664854.90636683</v>
      </c>
      <c r="U82" s="87">
        <f t="shared" si="104"/>
        <v>0.81010238367386822</v>
      </c>
      <c r="V82" s="87">
        <f t="shared" si="105"/>
        <v>-1.8101023836738681</v>
      </c>
      <c r="W82" s="87">
        <f t="shared" si="106"/>
        <v>5.023425594485369E-5</v>
      </c>
      <c r="X82" s="87">
        <f t="shared" si="107"/>
        <v>1019210499.2481589</v>
      </c>
      <c r="Y82" s="86">
        <f>FieldFox!AG82</f>
        <v>0.1</v>
      </c>
      <c r="Z82" s="86">
        <f>FieldFox!AF82</f>
        <v>0.1</v>
      </c>
      <c r="AA82" s="86">
        <f>FieldFox!AH82</f>
        <v>0.1</v>
      </c>
      <c r="AB82" s="87">
        <f t="shared" si="108"/>
        <v>1.3389238540091567E-3</v>
      </c>
      <c r="AC82" s="87">
        <f t="shared" si="109"/>
        <v>1.3389238540091567E-3</v>
      </c>
      <c r="AD82" s="87">
        <f t="shared" si="110"/>
        <v>1.3389238540091567E-3</v>
      </c>
      <c r="AE82" s="87">
        <f>DUT!AF83</f>
        <v>0.2</v>
      </c>
      <c r="AF82" s="4">
        <f t="shared" si="111"/>
        <v>0.40853898265363492</v>
      </c>
      <c r="AG82" s="4">
        <f>'Meas. Noise Std'!AC83</f>
        <v>0.1</v>
      </c>
      <c r="AH82" s="4">
        <f>'Meas. Noise Std'!AD83</f>
        <v>1</v>
      </c>
      <c r="AI82" s="4">
        <f>DUT!AH83</f>
        <v>0</v>
      </c>
      <c r="AJ82" s="166">
        <f t="shared" si="112"/>
        <v>1.6341559306145403E-2</v>
      </c>
      <c r="AK82" s="166">
        <f t="shared" si="113"/>
        <v>0</v>
      </c>
      <c r="AL82" s="163">
        <f t="shared" si="137"/>
        <v>1.6341559306145403E-2</v>
      </c>
      <c r="AM82" s="4">
        <f t="shared" si="114"/>
        <v>0</v>
      </c>
      <c r="AN82" s="4">
        <f>DUT!AG83</f>
        <v>0.31622776601683794</v>
      </c>
      <c r="AO82" s="4">
        <f>IF(AND(UsePreamp,UseUserCal),Preamp!AF83,0)</f>
        <v>0.3981071705534972</v>
      </c>
      <c r="AP82" s="4">
        <f t="shared" si="115"/>
        <v>0.40853898265363492</v>
      </c>
      <c r="AQ82" s="88">
        <f t="shared" si="116"/>
        <v>1.8055713134491684</v>
      </c>
      <c r="AR82" s="88">
        <f t="shared" si="117"/>
        <v>0</v>
      </c>
      <c r="AS82" s="88">
        <f t="shared" si="138"/>
        <v>1.8055713134491684</v>
      </c>
      <c r="AT82" s="88">
        <f t="shared" si="118"/>
        <v>1.794101024863485</v>
      </c>
      <c r="AU82" s="88">
        <f t="shared" si="119"/>
        <v>15.979472932539238</v>
      </c>
      <c r="AV82" s="88">
        <f t="shared" si="139"/>
        <v>16.079874181384952</v>
      </c>
      <c r="AW82" s="88">
        <f>X82*Calibration!AT82*UseUserCal</f>
        <v>0.22843099786841564</v>
      </c>
      <c r="AX82" s="88">
        <f t="shared" si="120"/>
        <v>3.0744256849308269E-3</v>
      </c>
      <c r="AY82" s="167">
        <f t="shared" si="140"/>
        <v>0.22845168609675937</v>
      </c>
      <c r="AZ82" s="88">
        <f>U82*B82*(10^('Meas. Noise Std'!AB83/(ENRconf*10))-1)</f>
        <v>11.322883725670046</v>
      </c>
      <c r="BA82" s="88">
        <f t="shared" si="121"/>
        <v>0</v>
      </c>
      <c r="BB82" s="88">
        <f t="shared" si="122"/>
        <v>0</v>
      </c>
      <c r="BC82" s="88">
        <f t="shared" si="141"/>
        <v>0</v>
      </c>
      <c r="BD82" s="88">
        <f t="shared" si="123"/>
        <v>19.750501955521155</v>
      </c>
      <c r="BE82" s="4">
        <f t="shared" si="124"/>
        <v>39.501003911042311</v>
      </c>
      <c r="BF82" s="4">
        <f t="shared" si="125"/>
        <v>0.22933854830366102</v>
      </c>
      <c r="BG82" s="88">
        <f t="shared" si="126"/>
        <v>477.94806904882097</v>
      </c>
      <c r="BH82" s="88">
        <f t="shared" si="127"/>
        <v>398.94606122673639</v>
      </c>
      <c r="BI82" s="86">
        <f t="shared" si="128"/>
        <v>5.0907349989800315</v>
      </c>
      <c r="BJ82" s="86">
        <f>10*LOG10(($O82+NseMeas!T_0+BI82)/($O82+NseMeas!T_0))</f>
        <v>3.0245006045761878E-2</v>
      </c>
      <c r="BK82" s="86">
        <f t="shared" si="129"/>
        <v>31.958945865078476</v>
      </c>
      <c r="BL82" s="86">
        <f>10*LOG10(($O82+NseMeas!T_0+BK82)/($O82+NseMeas!T_0))</f>
        <v>0.18647543402094358</v>
      </c>
      <c r="BM82" s="86">
        <f t="shared" si="130"/>
        <v>22.645767451340092</v>
      </c>
      <c r="BN82" s="86">
        <f>10*LOG10(($O82+NseMeas!T_0+BM82)/($O82+NseMeas!T_0))</f>
        <v>0.13295619783758311</v>
      </c>
      <c r="BO82" s="86">
        <f t="shared" si="131"/>
        <v>0.45686199573683128</v>
      </c>
      <c r="BP82" s="86">
        <f>10*LOG10(($O82+NseMeas!T_0+BO82)/($O82+NseMeas!T_0))</f>
        <v>2.7229219493682755E-3</v>
      </c>
      <c r="BQ82" s="86">
        <f t="shared" si="132"/>
        <v>0</v>
      </c>
      <c r="BR82" s="86">
        <f>10*LOG10(($O82+NseMeas!T_0+BQ82)/($O82+NseMeas!T_0))</f>
        <v>0</v>
      </c>
      <c r="BT82" s="86">
        <f t="shared" si="133"/>
        <v>0</v>
      </c>
      <c r="BU82" s="86">
        <f>10*LOG10(($O82+NseMeas!T_0+BT82)/($O82+NseMeas!T_0))</f>
        <v>0</v>
      </c>
      <c r="BV82" s="86">
        <f t="shared" si="134"/>
        <v>31.958945865078476</v>
      </c>
      <c r="BW82" s="86">
        <f>10*LOG10(($O82+NseMeas!T_0+BV82)/($O82+NseMeas!T_0))</f>
        <v>0.18647543402094358</v>
      </c>
      <c r="BX82" s="175">
        <f>UseUserCal*X82*Calibration!AM82*nSD</f>
        <v>0</v>
      </c>
      <c r="BY82" s="86">
        <f>10*LOG10(($O82+NseMeas!T_0+BX82)/($O82+NseMeas!T_0))</f>
        <v>0</v>
      </c>
      <c r="BZ82" s="168">
        <f>UseUserCal*X82*Calibration!AP82*nSD</f>
        <v>0.45096991767149286</v>
      </c>
      <c r="CA82" s="86">
        <f>10*LOG10(($O82+NseMeas!T_0+BZ82)/($O82+NseMeas!T_0))</f>
        <v>2.6878157133072068E-3</v>
      </c>
      <c r="CB82" s="4">
        <f t="shared" si="135"/>
        <v>31.962127505434633</v>
      </c>
      <c r="CC82" s="86">
        <f>10*LOG10(($O82+NseMeas!T_0+CB82)/($O82+NseMeas!T_0))</f>
        <v>0.18649360544435875</v>
      </c>
    </row>
    <row r="83" spans="1:81">
      <c r="A83" s="4">
        <f t="shared" si="136"/>
        <v>26.500001000000001</v>
      </c>
      <c r="B83" s="164">
        <f>T_0*(1+10^('Meas. Noise Std'!AA84/10))</f>
        <v>1207.0605214488303</v>
      </c>
      <c r="C83" s="164">
        <f t="shared" si="93"/>
        <v>298</v>
      </c>
      <c r="D83" s="86">
        <f t="shared" si="94"/>
        <v>298</v>
      </c>
      <c r="E83" s="164">
        <f>IF(UsePreamp,T_0*(10^(Preamp!AE84/10)-1),0)</f>
        <v>627.06052144883006</v>
      </c>
      <c r="F83" s="164">
        <f>T_0*(10^((FieldFox!B83-kT0dB)/10)-1)</f>
        <v>45411.676407373438</v>
      </c>
      <c r="G83" s="86">
        <f>IF(UsePreamp,10^(Preamp!AD84/10),1)</f>
        <v>199.06734581632566</v>
      </c>
      <c r="H83" s="86">
        <f>T_0*(10^(DUT!AE84/10)-1)</f>
        <v>438.4470651377784</v>
      </c>
      <c r="I83" s="86">
        <f>10^(DUT!AD84/10)</f>
        <v>100</v>
      </c>
      <c r="J83" s="87">
        <f t="shared" si="95"/>
        <v>1.622883020530872E-6</v>
      </c>
      <c r="K83" s="87">
        <f t="shared" si="96"/>
        <v>7.3095684618375027E-7</v>
      </c>
      <c r="L83" s="87">
        <f t="shared" si="97"/>
        <v>2.2529120191543056E-9</v>
      </c>
      <c r="M83" s="87">
        <f>IF(UseUserCal,Calibration!M83,0)</f>
        <v>6.1524142648784919E-9</v>
      </c>
      <c r="N83" s="87">
        <f>IF(UseUserCal,Calibration!L83,1)</f>
        <v>199.06734581632574</v>
      </c>
      <c r="O83" s="165">
        <f t="shared" si="98"/>
        <v>438.44706513777868</v>
      </c>
      <c r="P83" s="86">
        <f t="shared" si="99"/>
        <v>99.999999999999943</v>
      </c>
      <c r="Q83" s="170">
        <f t="shared" si="100"/>
        <v>1.1843093476168496E-6</v>
      </c>
      <c r="R83" s="87">
        <f t="shared" si="101"/>
        <v>4.3018303428114972E-7</v>
      </c>
      <c r="S83" s="87">
        <f t="shared" si="102"/>
        <v>1844875354.154526</v>
      </c>
      <c r="T83" s="87">
        <f t="shared" si="103"/>
        <v>825664854.90636683</v>
      </c>
      <c r="U83" s="87">
        <f t="shared" si="104"/>
        <v>0.81010238367386822</v>
      </c>
      <c r="V83" s="87">
        <f t="shared" si="105"/>
        <v>-1.8101023836738681</v>
      </c>
      <c r="W83" s="87">
        <f t="shared" si="106"/>
        <v>5.023425594485369E-5</v>
      </c>
      <c r="X83" s="87">
        <f t="shared" si="107"/>
        <v>1019210499.2481589</v>
      </c>
      <c r="Y83" s="86">
        <f>FieldFox!AG83</f>
        <v>0.1</v>
      </c>
      <c r="Z83" s="86">
        <f>FieldFox!AF83</f>
        <v>0.1</v>
      </c>
      <c r="AA83" s="86">
        <f>FieldFox!AH83</f>
        <v>0.1</v>
      </c>
      <c r="AB83" s="87">
        <f t="shared" si="108"/>
        <v>1.3389238540091567E-3</v>
      </c>
      <c r="AC83" s="87">
        <f t="shared" si="109"/>
        <v>1.3389238540091567E-3</v>
      </c>
      <c r="AD83" s="87">
        <f t="shared" si="110"/>
        <v>1.3389238540091567E-3</v>
      </c>
      <c r="AE83" s="87">
        <f>DUT!AF84</f>
        <v>0.2</v>
      </c>
      <c r="AF83" s="4">
        <f t="shared" si="111"/>
        <v>0.40853898265363492</v>
      </c>
      <c r="AG83" s="4">
        <f>'Meas. Noise Std'!AC84</f>
        <v>0.1</v>
      </c>
      <c r="AH83" s="4">
        <f>'Meas. Noise Std'!AD84</f>
        <v>1</v>
      </c>
      <c r="AI83" s="4">
        <f>DUT!AH84</f>
        <v>0</v>
      </c>
      <c r="AJ83" s="166">
        <f t="shared" si="112"/>
        <v>1.6341559306145403E-2</v>
      </c>
      <c r="AK83" s="166">
        <f t="shared" si="113"/>
        <v>0</v>
      </c>
      <c r="AL83" s="163">
        <f t="shared" si="137"/>
        <v>1.6341559306145403E-2</v>
      </c>
      <c r="AM83" s="4">
        <f t="shared" si="114"/>
        <v>0</v>
      </c>
      <c r="AN83" s="4">
        <f>DUT!AG84</f>
        <v>0.31622776601683794</v>
      </c>
      <c r="AO83" s="4">
        <f>IF(AND(UsePreamp,UseUserCal),Preamp!AF84,0)</f>
        <v>0.3981071705534972</v>
      </c>
      <c r="AP83" s="4">
        <f t="shared" si="115"/>
        <v>0.40853898265363492</v>
      </c>
      <c r="AQ83" s="88">
        <f t="shared" si="116"/>
        <v>1.8055713134491684</v>
      </c>
      <c r="AR83" s="88">
        <f t="shared" si="117"/>
        <v>0</v>
      </c>
      <c r="AS83" s="88">
        <f t="shared" si="138"/>
        <v>1.8055713134491684</v>
      </c>
      <c r="AT83" s="88">
        <f t="shared" si="118"/>
        <v>1.794101024863485</v>
      </c>
      <c r="AU83" s="88">
        <f t="shared" si="119"/>
        <v>15.979472932539238</v>
      </c>
      <c r="AV83" s="88">
        <f t="shared" si="139"/>
        <v>16.079874181384952</v>
      </c>
      <c r="AW83" s="88">
        <f>X83*Calibration!AT83*UseUserCal</f>
        <v>0.22843099786841564</v>
      </c>
      <c r="AX83" s="88">
        <f t="shared" si="120"/>
        <v>3.0744256849308269E-3</v>
      </c>
      <c r="AY83" s="167">
        <f t="shared" si="140"/>
        <v>0.22845168609675937</v>
      </c>
      <c r="AZ83" s="88">
        <f>U83*B83*(10^('Meas. Noise Std'!AB84/(ENRconf*10))-1)</f>
        <v>11.322883725670046</v>
      </c>
      <c r="BA83" s="88">
        <f t="shared" si="121"/>
        <v>0</v>
      </c>
      <c r="BB83" s="88">
        <f t="shared" si="122"/>
        <v>0</v>
      </c>
      <c r="BC83" s="88">
        <f t="shared" si="141"/>
        <v>0</v>
      </c>
      <c r="BD83" s="88">
        <f t="shared" si="123"/>
        <v>19.750501955521155</v>
      </c>
      <c r="BE83" s="4">
        <f t="shared" si="124"/>
        <v>39.501003911042311</v>
      </c>
      <c r="BF83" s="4">
        <f t="shared" si="125"/>
        <v>0.22933854830366102</v>
      </c>
      <c r="BG83" s="88">
        <f t="shared" si="126"/>
        <v>477.94806904882097</v>
      </c>
      <c r="BH83" s="88">
        <f t="shared" si="127"/>
        <v>398.94606122673639</v>
      </c>
      <c r="BI83" s="86">
        <f t="shared" si="128"/>
        <v>5.0907349989800315</v>
      </c>
      <c r="BJ83" s="86">
        <f>10*LOG10(($O83+NseMeas!T_0+BI83)/($O83+NseMeas!T_0))</f>
        <v>3.0245006045761878E-2</v>
      </c>
      <c r="BK83" s="86">
        <f t="shared" si="129"/>
        <v>31.958945865078476</v>
      </c>
      <c r="BL83" s="86">
        <f>10*LOG10(($O83+NseMeas!T_0+BK83)/($O83+NseMeas!T_0))</f>
        <v>0.18647543402094358</v>
      </c>
      <c r="BM83" s="86">
        <f t="shared" si="130"/>
        <v>22.645767451340092</v>
      </c>
      <c r="BN83" s="86">
        <f>10*LOG10(($O83+NseMeas!T_0+BM83)/($O83+NseMeas!T_0))</f>
        <v>0.13295619783758311</v>
      </c>
      <c r="BO83" s="86">
        <f t="shared" si="131"/>
        <v>0.45686199573683128</v>
      </c>
      <c r="BP83" s="86">
        <f>10*LOG10(($O83+NseMeas!T_0+BO83)/($O83+NseMeas!T_0))</f>
        <v>2.7229219493682755E-3</v>
      </c>
      <c r="BQ83" s="86">
        <f t="shared" si="132"/>
        <v>0</v>
      </c>
      <c r="BR83" s="86">
        <f>10*LOG10(($O83+NseMeas!T_0+BQ83)/($O83+NseMeas!T_0))</f>
        <v>0</v>
      </c>
      <c r="BT83" s="86">
        <f t="shared" si="133"/>
        <v>0</v>
      </c>
      <c r="BU83" s="86">
        <f>10*LOG10(($O83+NseMeas!T_0+BT83)/($O83+NseMeas!T_0))</f>
        <v>0</v>
      </c>
      <c r="BV83" s="86">
        <f t="shared" si="134"/>
        <v>31.958945865078476</v>
      </c>
      <c r="BW83" s="86">
        <f>10*LOG10(($O83+NseMeas!T_0+BV83)/($O83+NseMeas!T_0))</f>
        <v>0.18647543402094358</v>
      </c>
      <c r="BX83" s="175">
        <f>UseUserCal*X83*Calibration!AM83*nSD</f>
        <v>0</v>
      </c>
      <c r="BY83" s="86">
        <f>10*LOG10(($O83+NseMeas!T_0+BX83)/($O83+NseMeas!T_0))</f>
        <v>0</v>
      </c>
      <c r="BZ83" s="168">
        <f>UseUserCal*X83*Calibration!AP83*nSD</f>
        <v>0.45096991767149286</v>
      </c>
      <c r="CA83" s="86">
        <f>10*LOG10(($O83+NseMeas!T_0+BZ83)/($O83+NseMeas!T_0))</f>
        <v>2.6878157133072068E-3</v>
      </c>
      <c r="CB83" s="4">
        <f t="shared" si="135"/>
        <v>31.962127505434633</v>
      </c>
      <c r="CC83" s="86">
        <f>10*LOG10(($O83+NseMeas!T_0+CB83)/($O83+NseMeas!T_0))</f>
        <v>0.18649360544435875</v>
      </c>
    </row>
    <row r="84" spans="1:81">
      <c r="A84" s="4">
        <f t="shared" si="136"/>
        <v>26.500001000000001</v>
      </c>
      <c r="B84" s="164">
        <f>T_0*(1+10^('Meas. Noise Std'!AA85/10))</f>
        <v>1207.0605214488303</v>
      </c>
      <c r="C84" s="164">
        <f t="shared" si="93"/>
        <v>298</v>
      </c>
      <c r="D84" s="86">
        <f t="shared" si="94"/>
        <v>298</v>
      </c>
      <c r="E84" s="164">
        <f>IF(UsePreamp,T_0*(10^(Preamp!AE85/10)-1),0)</f>
        <v>627.06052144883006</v>
      </c>
      <c r="F84" s="164">
        <f>T_0*(10^((FieldFox!B84-kT0dB)/10)-1)</f>
        <v>45411.676407373438</v>
      </c>
      <c r="G84" s="86">
        <f>IF(UsePreamp,10^(Preamp!AD85/10),1)</f>
        <v>199.06734581632566</v>
      </c>
      <c r="H84" s="86">
        <f>T_0*(10^(DUT!AE85/10)-1)</f>
        <v>438.4470651377784</v>
      </c>
      <c r="I84" s="86">
        <f>10^(DUT!AD85/10)</f>
        <v>100</v>
      </c>
      <c r="J84" s="87">
        <f t="shared" si="95"/>
        <v>1.622883020530872E-6</v>
      </c>
      <c r="K84" s="87">
        <f t="shared" si="96"/>
        <v>7.3095684618375027E-7</v>
      </c>
      <c r="L84" s="87">
        <f t="shared" si="97"/>
        <v>2.2529120191543056E-9</v>
      </c>
      <c r="M84" s="87">
        <f>IF(UseUserCal,Calibration!M84,0)</f>
        <v>6.1524142648784919E-9</v>
      </c>
      <c r="N84" s="87">
        <f>IF(UseUserCal,Calibration!L84,1)</f>
        <v>199.06734581632574</v>
      </c>
      <c r="O84" s="165">
        <f t="shared" si="98"/>
        <v>438.44706513777868</v>
      </c>
      <c r="P84" s="86">
        <f t="shared" si="99"/>
        <v>99.999999999999943</v>
      </c>
      <c r="Q84" s="170">
        <f t="shared" si="100"/>
        <v>1.1843093476168496E-6</v>
      </c>
      <c r="R84" s="87">
        <f t="shared" si="101"/>
        <v>4.3018303428114972E-7</v>
      </c>
      <c r="S84" s="87">
        <f t="shared" si="102"/>
        <v>1844875354.154526</v>
      </c>
      <c r="T84" s="87">
        <f t="shared" si="103"/>
        <v>825664854.90636683</v>
      </c>
      <c r="U84" s="87">
        <f t="shared" si="104"/>
        <v>0.81010238367386822</v>
      </c>
      <c r="V84" s="87">
        <f t="shared" si="105"/>
        <v>-1.8101023836738681</v>
      </c>
      <c r="W84" s="87">
        <f t="shared" si="106"/>
        <v>5.023425594485369E-5</v>
      </c>
      <c r="X84" s="87">
        <f t="shared" si="107"/>
        <v>1019210499.2481589</v>
      </c>
      <c r="Y84" s="86">
        <f>FieldFox!AG84</f>
        <v>0.1</v>
      </c>
      <c r="Z84" s="86">
        <f>FieldFox!AF84</f>
        <v>0.1</v>
      </c>
      <c r="AA84" s="86">
        <f>FieldFox!AH84</f>
        <v>0.1</v>
      </c>
      <c r="AB84" s="87">
        <f t="shared" si="108"/>
        <v>1.3389238540091567E-3</v>
      </c>
      <c r="AC84" s="87">
        <f t="shared" si="109"/>
        <v>1.3389238540091567E-3</v>
      </c>
      <c r="AD84" s="87">
        <f t="shared" si="110"/>
        <v>1.3389238540091567E-3</v>
      </c>
      <c r="AE84" s="87">
        <f>DUT!AF85</f>
        <v>0.2</v>
      </c>
      <c r="AF84" s="4">
        <f t="shared" si="111"/>
        <v>0.40853898265363492</v>
      </c>
      <c r="AG84" s="4">
        <f>'Meas. Noise Std'!AC85</f>
        <v>0.1</v>
      </c>
      <c r="AH84" s="4">
        <f>'Meas. Noise Std'!AD85</f>
        <v>1</v>
      </c>
      <c r="AI84" s="4">
        <f>DUT!AH85</f>
        <v>0</v>
      </c>
      <c r="AJ84" s="166">
        <f t="shared" si="112"/>
        <v>1.6341559306145403E-2</v>
      </c>
      <c r="AK84" s="166">
        <f t="shared" si="113"/>
        <v>0</v>
      </c>
      <c r="AL84" s="163">
        <f t="shared" si="137"/>
        <v>1.6341559306145403E-2</v>
      </c>
      <c r="AM84" s="4">
        <f t="shared" si="114"/>
        <v>0</v>
      </c>
      <c r="AN84" s="4">
        <f>DUT!AG85</f>
        <v>0.31622776601683794</v>
      </c>
      <c r="AO84" s="4">
        <f>IF(AND(UsePreamp,UseUserCal),Preamp!AF85,0)</f>
        <v>0.3981071705534972</v>
      </c>
      <c r="AP84" s="4">
        <f t="shared" si="115"/>
        <v>0.40853898265363492</v>
      </c>
      <c r="AQ84" s="88">
        <f t="shared" si="116"/>
        <v>1.8055713134491684</v>
      </c>
      <c r="AR84" s="88">
        <f t="shared" si="117"/>
        <v>0</v>
      </c>
      <c r="AS84" s="88">
        <f t="shared" si="138"/>
        <v>1.8055713134491684</v>
      </c>
      <c r="AT84" s="88">
        <f t="shared" si="118"/>
        <v>1.794101024863485</v>
      </c>
      <c r="AU84" s="88">
        <f t="shared" si="119"/>
        <v>15.979472932539238</v>
      </c>
      <c r="AV84" s="88">
        <f t="shared" si="139"/>
        <v>16.079874181384952</v>
      </c>
      <c r="AW84" s="88">
        <f>X84*Calibration!AT84*UseUserCal</f>
        <v>0.22843099786841564</v>
      </c>
      <c r="AX84" s="88">
        <f t="shared" si="120"/>
        <v>3.0744256849308269E-3</v>
      </c>
      <c r="AY84" s="167">
        <f t="shared" si="140"/>
        <v>0.22845168609675937</v>
      </c>
      <c r="AZ84" s="88">
        <f>U84*B84*(10^('Meas. Noise Std'!AB85/(ENRconf*10))-1)</f>
        <v>11.322883725670046</v>
      </c>
      <c r="BA84" s="88">
        <f t="shared" si="121"/>
        <v>0</v>
      </c>
      <c r="BB84" s="88">
        <f t="shared" si="122"/>
        <v>0</v>
      </c>
      <c r="BC84" s="88">
        <f t="shared" si="141"/>
        <v>0</v>
      </c>
      <c r="BD84" s="88">
        <f t="shared" si="123"/>
        <v>19.750501955521155</v>
      </c>
      <c r="BE84" s="4">
        <f t="shared" si="124"/>
        <v>39.501003911042311</v>
      </c>
      <c r="BF84" s="4">
        <f t="shared" si="125"/>
        <v>0.22933854830366102</v>
      </c>
      <c r="BG84" s="88">
        <f t="shared" si="126"/>
        <v>477.94806904882097</v>
      </c>
      <c r="BH84" s="88">
        <f t="shared" si="127"/>
        <v>398.94606122673639</v>
      </c>
      <c r="BI84" s="86">
        <f t="shared" si="128"/>
        <v>5.0907349989800315</v>
      </c>
      <c r="BJ84" s="86">
        <f>10*LOG10(($O84+NseMeas!T_0+BI84)/($O84+NseMeas!T_0))</f>
        <v>3.0245006045761878E-2</v>
      </c>
      <c r="BK84" s="86">
        <f t="shared" si="129"/>
        <v>31.958945865078476</v>
      </c>
      <c r="BL84" s="86">
        <f>10*LOG10(($O84+NseMeas!T_0+BK84)/($O84+NseMeas!T_0))</f>
        <v>0.18647543402094358</v>
      </c>
      <c r="BM84" s="86">
        <f t="shared" si="130"/>
        <v>22.645767451340092</v>
      </c>
      <c r="BN84" s="86">
        <f>10*LOG10(($O84+NseMeas!T_0+BM84)/($O84+NseMeas!T_0))</f>
        <v>0.13295619783758311</v>
      </c>
      <c r="BO84" s="86">
        <f t="shared" si="131"/>
        <v>0.45686199573683128</v>
      </c>
      <c r="BP84" s="86">
        <f>10*LOG10(($O84+NseMeas!T_0+BO84)/($O84+NseMeas!T_0))</f>
        <v>2.7229219493682755E-3</v>
      </c>
      <c r="BQ84" s="86">
        <f t="shared" si="132"/>
        <v>0</v>
      </c>
      <c r="BR84" s="86">
        <f>10*LOG10(($O84+NseMeas!T_0+BQ84)/($O84+NseMeas!T_0))</f>
        <v>0</v>
      </c>
      <c r="BT84" s="86">
        <f t="shared" si="133"/>
        <v>0</v>
      </c>
      <c r="BU84" s="86">
        <f>10*LOG10(($O84+NseMeas!T_0+BT84)/($O84+NseMeas!T_0))</f>
        <v>0</v>
      </c>
      <c r="BV84" s="86">
        <f t="shared" si="134"/>
        <v>31.958945865078476</v>
      </c>
      <c r="BW84" s="86">
        <f>10*LOG10(($O84+NseMeas!T_0+BV84)/($O84+NseMeas!T_0))</f>
        <v>0.18647543402094358</v>
      </c>
      <c r="BX84" s="175">
        <f>UseUserCal*X84*Calibration!AM84*nSD</f>
        <v>0</v>
      </c>
      <c r="BY84" s="86">
        <f>10*LOG10(($O84+NseMeas!T_0+BX84)/($O84+NseMeas!T_0))</f>
        <v>0</v>
      </c>
      <c r="BZ84" s="168">
        <f>UseUserCal*X84*Calibration!AP84*nSD</f>
        <v>0.45096991767149286</v>
      </c>
      <c r="CA84" s="86">
        <f>10*LOG10(($O84+NseMeas!T_0+BZ84)/($O84+NseMeas!T_0))</f>
        <v>2.6878157133072068E-3</v>
      </c>
      <c r="CB84" s="4">
        <f t="shared" si="135"/>
        <v>31.962127505434633</v>
      </c>
      <c r="CC84" s="86">
        <f>10*LOG10(($O84+NseMeas!T_0+CB84)/($O84+NseMeas!T_0))</f>
        <v>0.18649360544435875</v>
      </c>
    </row>
    <row r="85" spans="1:81">
      <c r="A85" s="4">
        <f t="shared" si="136"/>
        <v>26.500001000000001</v>
      </c>
      <c r="B85" s="164">
        <f>T_0*(1+10^('Meas. Noise Std'!AA86/10))</f>
        <v>1207.0605214488303</v>
      </c>
      <c r="C85" s="164">
        <f t="shared" si="93"/>
        <v>298</v>
      </c>
      <c r="D85" s="86">
        <f t="shared" si="94"/>
        <v>298</v>
      </c>
      <c r="E85" s="164">
        <f>IF(UsePreamp,T_0*(10^(Preamp!AE86/10)-1),0)</f>
        <v>627.06052144883006</v>
      </c>
      <c r="F85" s="164">
        <f>T_0*(10^((FieldFox!B85-kT0dB)/10)-1)</f>
        <v>45411.676407373438</v>
      </c>
      <c r="G85" s="86">
        <f>IF(UsePreamp,10^(Preamp!AD86/10),1)</f>
        <v>199.06734581632566</v>
      </c>
      <c r="H85" s="86">
        <f>T_0*(10^(DUT!AE86/10)-1)</f>
        <v>438.4470651377784</v>
      </c>
      <c r="I85" s="86">
        <f>10^(DUT!AD86/10)</f>
        <v>100</v>
      </c>
      <c r="J85" s="87">
        <f t="shared" si="95"/>
        <v>1.622883020530872E-6</v>
      </c>
      <c r="K85" s="87">
        <f t="shared" si="96"/>
        <v>7.3095684618375027E-7</v>
      </c>
      <c r="L85" s="87">
        <f t="shared" si="97"/>
        <v>2.2529120191543056E-9</v>
      </c>
      <c r="M85" s="87">
        <f>IF(UseUserCal,Calibration!M85,0)</f>
        <v>6.1524142648784919E-9</v>
      </c>
      <c r="N85" s="87">
        <f>IF(UseUserCal,Calibration!L85,1)</f>
        <v>199.06734581632574</v>
      </c>
      <c r="O85" s="165">
        <f t="shared" si="98"/>
        <v>438.44706513777868</v>
      </c>
      <c r="P85" s="86">
        <f t="shared" si="99"/>
        <v>99.999999999999943</v>
      </c>
      <c r="Q85" s="170">
        <f t="shared" si="100"/>
        <v>1.1843093476168496E-6</v>
      </c>
      <c r="R85" s="87">
        <f t="shared" si="101"/>
        <v>4.3018303428114972E-7</v>
      </c>
      <c r="S85" s="87">
        <f t="shared" si="102"/>
        <v>1844875354.154526</v>
      </c>
      <c r="T85" s="87">
        <f t="shared" si="103"/>
        <v>825664854.90636683</v>
      </c>
      <c r="U85" s="87">
        <f t="shared" si="104"/>
        <v>0.81010238367386822</v>
      </c>
      <c r="V85" s="87">
        <f t="shared" si="105"/>
        <v>-1.8101023836738681</v>
      </c>
      <c r="W85" s="87">
        <f t="shared" si="106"/>
        <v>5.023425594485369E-5</v>
      </c>
      <c r="X85" s="87">
        <f t="shared" si="107"/>
        <v>1019210499.2481589</v>
      </c>
      <c r="Y85" s="86">
        <f>FieldFox!AG85</f>
        <v>0.1</v>
      </c>
      <c r="Z85" s="86">
        <f>FieldFox!AF85</f>
        <v>0.1</v>
      </c>
      <c r="AA85" s="86">
        <f>FieldFox!AH85</f>
        <v>0.1</v>
      </c>
      <c r="AB85" s="87">
        <f t="shared" si="108"/>
        <v>1.3389238540091567E-3</v>
      </c>
      <c r="AC85" s="87">
        <f t="shared" si="109"/>
        <v>1.3389238540091567E-3</v>
      </c>
      <c r="AD85" s="87">
        <f t="shared" si="110"/>
        <v>1.3389238540091567E-3</v>
      </c>
      <c r="AE85" s="87">
        <f>DUT!AF86</f>
        <v>0.2</v>
      </c>
      <c r="AF85" s="4">
        <f t="shared" si="111"/>
        <v>0.40853898265363492</v>
      </c>
      <c r="AG85" s="4">
        <f>'Meas. Noise Std'!AC86</f>
        <v>0.1</v>
      </c>
      <c r="AH85" s="4">
        <f>'Meas. Noise Std'!AD86</f>
        <v>1</v>
      </c>
      <c r="AI85" s="4">
        <f>DUT!AH86</f>
        <v>0</v>
      </c>
      <c r="AJ85" s="166">
        <f t="shared" si="112"/>
        <v>1.6341559306145403E-2</v>
      </c>
      <c r="AK85" s="166">
        <f t="shared" si="113"/>
        <v>0</v>
      </c>
      <c r="AL85" s="163">
        <f t="shared" si="137"/>
        <v>1.6341559306145403E-2</v>
      </c>
      <c r="AM85" s="4">
        <f t="shared" si="114"/>
        <v>0</v>
      </c>
      <c r="AN85" s="4">
        <f>DUT!AG86</f>
        <v>0.31622776601683794</v>
      </c>
      <c r="AO85" s="4">
        <f>IF(AND(UsePreamp,UseUserCal),Preamp!AF86,0)</f>
        <v>0.3981071705534972</v>
      </c>
      <c r="AP85" s="4">
        <f t="shared" si="115"/>
        <v>0.40853898265363492</v>
      </c>
      <c r="AQ85" s="88">
        <f t="shared" si="116"/>
        <v>1.8055713134491684</v>
      </c>
      <c r="AR85" s="88">
        <f t="shared" si="117"/>
        <v>0</v>
      </c>
      <c r="AS85" s="88">
        <f t="shared" si="138"/>
        <v>1.8055713134491684</v>
      </c>
      <c r="AT85" s="88">
        <f t="shared" si="118"/>
        <v>1.794101024863485</v>
      </c>
      <c r="AU85" s="88">
        <f t="shared" si="119"/>
        <v>15.979472932539238</v>
      </c>
      <c r="AV85" s="88">
        <f t="shared" si="139"/>
        <v>16.079874181384952</v>
      </c>
      <c r="AW85" s="88">
        <f>X85*Calibration!AT85*UseUserCal</f>
        <v>0.22843099786841564</v>
      </c>
      <c r="AX85" s="88">
        <f t="shared" si="120"/>
        <v>3.0744256849308269E-3</v>
      </c>
      <c r="AY85" s="167">
        <f t="shared" si="140"/>
        <v>0.22845168609675937</v>
      </c>
      <c r="AZ85" s="88">
        <f>U85*B85*(10^('Meas. Noise Std'!AB86/(ENRconf*10))-1)</f>
        <v>11.322883725670046</v>
      </c>
      <c r="BA85" s="88">
        <f t="shared" si="121"/>
        <v>0</v>
      </c>
      <c r="BB85" s="88">
        <f t="shared" si="122"/>
        <v>0</v>
      </c>
      <c r="BC85" s="88">
        <f t="shared" si="141"/>
        <v>0</v>
      </c>
      <c r="BD85" s="88">
        <f t="shared" si="123"/>
        <v>19.750501955521155</v>
      </c>
      <c r="BE85" s="4">
        <f t="shared" si="124"/>
        <v>39.501003911042311</v>
      </c>
      <c r="BF85" s="4">
        <f t="shared" si="125"/>
        <v>0.22933854830366102</v>
      </c>
      <c r="BG85" s="88">
        <f t="shared" si="126"/>
        <v>477.94806904882097</v>
      </c>
      <c r="BH85" s="88">
        <f t="shared" si="127"/>
        <v>398.94606122673639</v>
      </c>
      <c r="BI85" s="86">
        <f t="shared" si="128"/>
        <v>5.0907349989800315</v>
      </c>
      <c r="BJ85" s="86">
        <f>10*LOG10(($O85+NseMeas!T_0+BI85)/($O85+NseMeas!T_0))</f>
        <v>3.0245006045761878E-2</v>
      </c>
      <c r="BK85" s="86">
        <f t="shared" si="129"/>
        <v>31.958945865078476</v>
      </c>
      <c r="BL85" s="86">
        <f>10*LOG10(($O85+NseMeas!T_0+BK85)/($O85+NseMeas!T_0))</f>
        <v>0.18647543402094358</v>
      </c>
      <c r="BM85" s="86">
        <f t="shared" si="130"/>
        <v>22.645767451340092</v>
      </c>
      <c r="BN85" s="86">
        <f>10*LOG10(($O85+NseMeas!T_0+BM85)/($O85+NseMeas!T_0))</f>
        <v>0.13295619783758311</v>
      </c>
      <c r="BO85" s="86">
        <f t="shared" si="131"/>
        <v>0.45686199573683128</v>
      </c>
      <c r="BP85" s="86">
        <f>10*LOG10(($O85+NseMeas!T_0+BO85)/($O85+NseMeas!T_0))</f>
        <v>2.7229219493682755E-3</v>
      </c>
      <c r="BQ85" s="86">
        <f t="shared" si="132"/>
        <v>0</v>
      </c>
      <c r="BR85" s="86">
        <f>10*LOG10(($O85+NseMeas!T_0+BQ85)/($O85+NseMeas!T_0))</f>
        <v>0</v>
      </c>
      <c r="BT85" s="86">
        <f t="shared" si="133"/>
        <v>0</v>
      </c>
      <c r="BU85" s="86">
        <f>10*LOG10(($O85+NseMeas!T_0+BT85)/($O85+NseMeas!T_0))</f>
        <v>0</v>
      </c>
      <c r="BV85" s="86">
        <f t="shared" si="134"/>
        <v>31.958945865078476</v>
      </c>
      <c r="BW85" s="86">
        <f>10*LOG10(($O85+NseMeas!T_0+BV85)/($O85+NseMeas!T_0))</f>
        <v>0.18647543402094358</v>
      </c>
      <c r="BX85" s="175">
        <f>UseUserCal*X85*Calibration!AM85*nSD</f>
        <v>0</v>
      </c>
      <c r="BY85" s="86">
        <f>10*LOG10(($O85+NseMeas!T_0+BX85)/($O85+NseMeas!T_0))</f>
        <v>0</v>
      </c>
      <c r="BZ85" s="168">
        <f>UseUserCal*X85*Calibration!AP85*nSD</f>
        <v>0.45096991767149286</v>
      </c>
      <c r="CA85" s="86">
        <f>10*LOG10(($O85+NseMeas!T_0+BZ85)/($O85+NseMeas!T_0))</f>
        <v>2.6878157133072068E-3</v>
      </c>
      <c r="CB85" s="4">
        <f t="shared" si="135"/>
        <v>31.962127505434633</v>
      </c>
      <c r="CC85" s="86">
        <f>10*LOG10(($O85+NseMeas!T_0+CB85)/($O85+NseMeas!T_0))</f>
        <v>0.18649360544435875</v>
      </c>
    </row>
    <row r="86" spans="1:81">
      <c r="A86" s="4">
        <f t="shared" si="136"/>
        <v>26.500001000000001</v>
      </c>
      <c r="B86" s="164">
        <f>T_0*(1+10^('Meas. Noise Std'!AA87/10))</f>
        <v>1207.0605214488303</v>
      </c>
      <c r="C86" s="164">
        <f t="shared" si="93"/>
        <v>298</v>
      </c>
      <c r="D86" s="86">
        <f t="shared" si="94"/>
        <v>298</v>
      </c>
      <c r="E86" s="164">
        <f>IF(UsePreamp,T_0*(10^(Preamp!AE87/10)-1),0)</f>
        <v>627.06052144883006</v>
      </c>
      <c r="F86" s="164">
        <f>T_0*(10^((FieldFox!B86-kT0dB)/10)-1)</f>
        <v>45411.676407373438</v>
      </c>
      <c r="G86" s="86">
        <f>IF(UsePreamp,10^(Preamp!AD87/10),1)</f>
        <v>199.06734581632566</v>
      </c>
      <c r="H86" s="86">
        <f>T_0*(10^(DUT!AE87/10)-1)</f>
        <v>438.4470651377784</v>
      </c>
      <c r="I86" s="86">
        <f>10^(DUT!AD87/10)</f>
        <v>100</v>
      </c>
      <c r="J86" s="87">
        <f t="shared" si="95"/>
        <v>1.622883020530872E-6</v>
      </c>
      <c r="K86" s="87">
        <f t="shared" si="96"/>
        <v>7.3095684618375027E-7</v>
      </c>
      <c r="L86" s="87">
        <f t="shared" si="97"/>
        <v>2.2529120191543056E-9</v>
      </c>
      <c r="M86" s="87">
        <f>IF(UseUserCal,Calibration!M86,0)</f>
        <v>6.1524142648784919E-9</v>
      </c>
      <c r="N86" s="87">
        <f>IF(UseUserCal,Calibration!L86,1)</f>
        <v>199.06734581632574</v>
      </c>
      <c r="O86" s="165">
        <f t="shared" si="98"/>
        <v>438.44706513777868</v>
      </c>
      <c r="P86" s="86">
        <f t="shared" si="99"/>
        <v>99.999999999999943</v>
      </c>
      <c r="Q86" s="170">
        <f t="shared" si="100"/>
        <v>1.1843093476168496E-6</v>
      </c>
      <c r="R86" s="87">
        <f t="shared" si="101"/>
        <v>4.3018303428114972E-7</v>
      </c>
      <c r="S86" s="87">
        <f t="shared" si="102"/>
        <v>1844875354.154526</v>
      </c>
      <c r="T86" s="87">
        <f t="shared" si="103"/>
        <v>825664854.90636683</v>
      </c>
      <c r="U86" s="87">
        <f t="shared" si="104"/>
        <v>0.81010238367386822</v>
      </c>
      <c r="V86" s="87">
        <f t="shared" si="105"/>
        <v>-1.8101023836738681</v>
      </c>
      <c r="W86" s="87">
        <f t="shared" si="106"/>
        <v>5.023425594485369E-5</v>
      </c>
      <c r="X86" s="87">
        <f t="shared" si="107"/>
        <v>1019210499.2481589</v>
      </c>
      <c r="Y86" s="86">
        <f>FieldFox!AG86</f>
        <v>0.1</v>
      </c>
      <c r="Z86" s="86">
        <f>FieldFox!AF86</f>
        <v>0.1</v>
      </c>
      <c r="AA86" s="86">
        <f>FieldFox!AH86</f>
        <v>0.1</v>
      </c>
      <c r="AB86" s="87">
        <f t="shared" si="108"/>
        <v>1.3389238540091567E-3</v>
      </c>
      <c r="AC86" s="87">
        <f t="shared" si="109"/>
        <v>1.3389238540091567E-3</v>
      </c>
      <c r="AD86" s="87">
        <f t="shared" si="110"/>
        <v>1.3389238540091567E-3</v>
      </c>
      <c r="AE86" s="87">
        <f>DUT!AF87</f>
        <v>0.2</v>
      </c>
      <c r="AF86" s="4">
        <f t="shared" si="111"/>
        <v>0.40853898265363492</v>
      </c>
      <c r="AG86" s="4">
        <f>'Meas. Noise Std'!AC87</f>
        <v>0.1</v>
      </c>
      <c r="AH86" s="4">
        <f>'Meas. Noise Std'!AD87</f>
        <v>1</v>
      </c>
      <c r="AI86" s="4">
        <f>DUT!AH87</f>
        <v>0</v>
      </c>
      <c r="AJ86" s="166">
        <f t="shared" si="112"/>
        <v>1.6341559306145403E-2</v>
      </c>
      <c r="AK86" s="166">
        <f t="shared" si="113"/>
        <v>0</v>
      </c>
      <c r="AL86" s="163">
        <f t="shared" si="137"/>
        <v>1.6341559306145403E-2</v>
      </c>
      <c r="AM86" s="4">
        <f t="shared" si="114"/>
        <v>0</v>
      </c>
      <c r="AN86" s="4">
        <f>DUT!AG87</f>
        <v>0.31622776601683794</v>
      </c>
      <c r="AO86" s="4">
        <f>IF(AND(UsePreamp,UseUserCal),Preamp!AF87,0)</f>
        <v>0.3981071705534972</v>
      </c>
      <c r="AP86" s="4">
        <f t="shared" si="115"/>
        <v>0.40853898265363492</v>
      </c>
      <c r="AQ86" s="88">
        <f t="shared" si="116"/>
        <v>1.8055713134491684</v>
      </c>
      <c r="AR86" s="88">
        <f t="shared" si="117"/>
        <v>0</v>
      </c>
      <c r="AS86" s="88">
        <f t="shared" si="138"/>
        <v>1.8055713134491684</v>
      </c>
      <c r="AT86" s="88">
        <f t="shared" si="118"/>
        <v>1.794101024863485</v>
      </c>
      <c r="AU86" s="88">
        <f t="shared" si="119"/>
        <v>15.979472932539238</v>
      </c>
      <c r="AV86" s="88">
        <f t="shared" si="139"/>
        <v>16.079874181384952</v>
      </c>
      <c r="AW86" s="88">
        <f>X86*Calibration!AT86*UseUserCal</f>
        <v>0.22843099786841564</v>
      </c>
      <c r="AX86" s="88">
        <f t="shared" si="120"/>
        <v>3.0744256849308269E-3</v>
      </c>
      <c r="AY86" s="167">
        <f t="shared" si="140"/>
        <v>0.22845168609675937</v>
      </c>
      <c r="AZ86" s="88">
        <f>U86*B86*(10^('Meas. Noise Std'!AB87/(ENRconf*10))-1)</f>
        <v>11.322883725670046</v>
      </c>
      <c r="BA86" s="88">
        <f t="shared" si="121"/>
        <v>0</v>
      </c>
      <c r="BB86" s="88">
        <f t="shared" si="122"/>
        <v>0</v>
      </c>
      <c r="BC86" s="88">
        <f t="shared" si="141"/>
        <v>0</v>
      </c>
      <c r="BD86" s="88">
        <f t="shared" si="123"/>
        <v>19.750501955521155</v>
      </c>
      <c r="BE86" s="4">
        <f t="shared" si="124"/>
        <v>39.501003911042311</v>
      </c>
      <c r="BF86" s="4">
        <f t="shared" si="125"/>
        <v>0.22933854830366102</v>
      </c>
      <c r="BG86" s="88">
        <f t="shared" si="126"/>
        <v>477.94806904882097</v>
      </c>
      <c r="BH86" s="88">
        <f t="shared" si="127"/>
        <v>398.94606122673639</v>
      </c>
      <c r="BI86" s="86">
        <f t="shared" si="128"/>
        <v>5.0907349989800315</v>
      </c>
      <c r="BJ86" s="86">
        <f>10*LOG10(($O86+NseMeas!T_0+BI86)/($O86+NseMeas!T_0))</f>
        <v>3.0245006045761878E-2</v>
      </c>
      <c r="BK86" s="86">
        <f t="shared" si="129"/>
        <v>31.958945865078476</v>
      </c>
      <c r="BL86" s="86">
        <f>10*LOG10(($O86+NseMeas!T_0+BK86)/($O86+NseMeas!T_0))</f>
        <v>0.18647543402094358</v>
      </c>
      <c r="BM86" s="86">
        <f t="shared" si="130"/>
        <v>22.645767451340092</v>
      </c>
      <c r="BN86" s="86">
        <f>10*LOG10(($O86+NseMeas!T_0+BM86)/($O86+NseMeas!T_0))</f>
        <v>0.13295619783758311</v>
      </c>
      <c r="BO86" s="86">
        <f t="shared" si="131"/>
        <v>0.45686199573683128</v>
      </c>
      <c r="BP86" s="86">
        <f>10*LOG10(($O86+NseMeas!T_0+BO86)/($O86+NseMeas!T_0))</f>
        <v>2.7229219493682755E-3</v>
      </c>
      <c r="BQ86" s="86">
        <f t="shared" si="132"/>
        <v>0</v>
      </c>
      <c r="BR86" s="86">
        <f>10*LOG10(($O86+NseMeas!T_0+BQ86)/($O86+NseMeas!T_0))</f>
        <v>0</v>
      </c>
      <c r="BT86" s="86">
        <f t="shared" si="133"/>
        <v>0</v>
      </c>
      <c r="BU86" s="86">
        <f>10*LOG10(($O86+NseMeas!T_0+BT86)/($O86+NseMeas!T_0))</f>
        <v>0</v>
      </c>
      <c r="BV86" s="86">
        <f t="shared" si="134"/>
        <v>31.958945865078476</v>
      </c>
      <c r="BW86" s="86">
        <f>10*LOG10(($O86+NseMeas!T_0+BV86)/($O86+NseMeas!T_0))</f>
        <v>0.18647543402094358</v>
      </c>
      <c r="BX86" s="175">
        <f>UseUserCal*X86*Calibration!AM86*nSD</f>
        <v>0</v>
      </c>
      <c r="BY86" s="86">
        <f>10*LOG10(($O86+NseMeas!T_0+BX86)/($O86+NseMeas!T_0))</f>
        <v>0</v>
      </c>
      <c r="BZ86" s="168">
        <f>UseUserCal*X86*Calibration!AP86*nSD</f>
        <v>0.45096991767149286</v>
      </c>
      <c r="CA86" s="86">
        <f>10*LOG10(($O86+NseMeas!T_0+BZ86)/($O86+NseMeas!T_0))</f>
        <v>2.6878157133072068E-3</v>
      </c>
      <c r="CB86" s="4">
        <f t="shared" si="135"/>
        <v>31.962127505434633</v>
      </c>
      <c r="CC86" s="86">
        <f>10*LOG10(($O86+NseMeas!T_0+CB86)/($O86+NseMeas!T_0))</f>
        <v>0.18649360544435875</v>
      </c>
    </row>
    <row r="87" spans="1:81">
      <c r="A87" s="4">
        <f t="shared" si="136"/>
        <v>26.500001000000001</v>
      </c>
      <c r="B87" s="164">
        <f>T_0*(1+10^('Meas. Noise Std'!AA88/10))</f>
        <v>1207.0605214488303</v>
      </c>
      <c r="C87" s="164">
        <f t="shared" si="93"/>
        <v>298</v>
      </c>
      <c r="D87" s="86">
        <f t="shared" si="94"/>
        <v>298</v>
      </c>
      <c r="E87" s="164">
        <f>IF(UsePreamp,T_0*(10^(Preamp!AE88/10)-1),0)</f>
        <v>627.06052144883006</v>
      </c>
      <c r="F87" s="164">
        <f>T_0*(10^((FieldFox!B87-kT0dB)/10)-1)</f>
        <v>45411.676407373438</v>
      </c>
      <c r="G87" s="86">
        <f>IF(UsePreamp,10^(Preamp!AD88/10),1)</f>
        <v>199.06734581632566</v>
      </c>
      <c r="H87" s="86">
        <f>T_0*(10^(DUT!AE88/10)-1)</f>
        <v>438.4470651377784</v>
      </c>
      <c r="I87" s="86">
        <f>10^(DUT!AD88/10)</f>
        <v>100</v>
      </c>
      <c r="J87" s="87">
        <f t="shared" si="95"/>
        <v>1.622883020530872E-6</v>
      </c>
      <c r="K87" s="87">
        <f t="shared" si="96"/>
        <v>7.3095684618375027E-7</v>
      </c>
      <c r="L87" s="87">
        <f t="shared" si="97"/>
        <v>2.2529120191543056E-9</v>
      </c>
      <c r="M87" s="87">
        <f>IF(UseUserCal,Calibration!M87,0)</f>
        <v>6.1524142648784919E-9</v>
      </c>
      <c r="N87" s="87">
        <f>IF(UseUserCal,Calibration!L87,1)</f>
        <v>199.06734581632574</v>
      </c>
      <c r="O87" s="165">
        <f t="shared" si="98"/>
        <v>438.44706513777868</v>
      </c>
      <c r="P87" s="86">
        <f t="shared" si="99"/>
        <v>99.999999999999943</v>
      </c>
      <c r="Q87" s="170">
        <f t="shared" si="100"/>
        <v>1.1843093476168496E-6</v>
      </c>
      <c r="R87" s="87">
        <f t="shared" si="101"/>
        <v>4.3018303428114972E-7</v>
      </c>
      <c r="S87" s="87">
        <f t="shared" si="102"/>
        <v>1844875354.154526</v>
      </c>
      <c r="T87" s="87">
        <f t="shared" si="103"/>
        <v>825664854.90636683</v>
      </c>
      <c r="U87" s="87">
        <f t="shared" si="104"/>
        <v>0.81010238367386822</v>
      </c>
      <c r="V87" s="87">
        <f t="shared" si="105"/>
        <v>-1.8101023836738681</v>
      </c>
      <c r="W87" s="87">
        <f t="shared" si="106"/>
        <v>5.023425594485369E-5</v>
      </c>
      <c r="X87" s="87">
        <f t="shared" si="107"/>
        <v>1019210499.2481589</v>
      </c>
      <c r="Y87" s="86">
        <f>FieldFox!AG87</f>
        <v>0.1</v>
      </c>
      <c r="Z87" s="86">
        <f>FieldFox!AF87</f>
        <v>0.1</v>
      </c>
      <c r="AA87" s="86">
        <f>FieldFox!AH87</f>
        <v>0.1</v>
      </c>
      <c r="AB87" s="87">
        <f t="shared" si="108"/>
        <v>1.3389238540091567E-3</v>
      </c>
      <c r="AC87" s="87">
        <f t="shared" si="109"/>
        <v>1.3389238540091567E-3</v>
      </c>
      <c r="AD87" s="87">
        <f t="shared" si="110"/>
        <v>1.3389238540091567E-3</v>
      </c>
      <c r="AE87" s="87">
        <f>DUT!AF88</f>
        <v>0.2</v>
      </c>
      <c r="AF87" s="4">
        <f t="shared" si="111"/>
        <v>0.40853898265363492</v>
      </c>
      <c r="AG87" s="4">
        <f>'Meas. Noise Std'!AC88</f>
        <v>0.1</v>
      </c>
      <c r="AH87" s="4">
        <f>'Meas. Noise Std'!AD88</f>
        <v>1</v>
      </c>
      <c r="AI87" s="4">
        <f>DUT!AH88</f>
        <v>0</v>
      </c>
      <c r="AJ87" s="166">
        <f t="shared" si="112"/>
        <v>1.6341559306145403E-2</v>
      </c>
      <c r="AK87" s="166">
        <f t="shared" si="113"/>
        <v>0</v>
      </c>
      <c r="AL87" s="163">
        <f t="shared" si="137"/>
        <v>1.6341559306145403E-2</v>
      </c>
      <c r="AM87" s="4">
        <f t="shared" si="114"/>
        <v>0</v>
      </c>
      <c r="AN87" s="4">
        <f>DUT!AG88</f>
        <v>0.31622776601683794</v>
      </c>
      <c r="AO87" s="4">
        <f>IF(AND(UsePreamp,UseUserCal),Preamp!AF88,0)</f>
        <v>0.3981071705534972</v>
      </c>
      <c r="AP87" s="4">
        <f t="shared" si="115"/>
        <v>0.40853898265363492</v>
      </c>
      <c r="AQ87" s="88">
        <f t="shared" si="116"/>
        <v>1.8055713134491684</v>
      </c>
      <c r="AR87" s="88">
        <f t="shared" si="117"/>
        <v>0</v>
      </c>
      <c r="AS87" s="88">
        <f t="shared" si="138"/>
        <v>1.8055713134491684</v>
      </c>
      <c r="AT87" s="88">
        <f t="shared" si="118"/>
        <v>1.794101024863485</v>
      </c>
      <c r="AU87" s="88">
        <f t="shared" si="119"/>
        <v>15.979472932539238</v>
      </c>
      <c r="AV87" s="88">
        <f t="shared" si="139"/>
        <v>16.079874181384952</v>
      </c>
      <c r="AW87" s="88">
        <f>X87*Calibration!AT87*UseUserCal</f>
        <v>0.22843099786841564</v>
      </c>
      <c r="AX87" s="88">
        <f t="shared" si="120"/>
        <v>3.0744256849308269E-3</v>
      </c>
      <c r="AY87" s="167">
        <f t="shared" si="140"/>
        <v>0.22845168609675937</v>
      </c>
      <c r="AZ87" s="88">
        <f>U87*B87*(10^('Meas. Noise Std'!AB88/(ENRconf*10))-1)</f>
        <v>11.322883725670046</v>
      </c>
      <c r="BA87" s="88">
        <f t="shared" si="121"/>
        <v>0</v>
      </c>
      <c r="BB87" s="88">
        <f t="shared" si="122"/>
        <v>0</v>
      </c>
      <c r="BC87" s="88">
        <f t="shared" si="141"/>
        <v>0</v>
      </c>
      <c r="BD87" s="88">
        <f t="shared" si="123"/>
        <v>19.750501955521155</v>
      </c>
      <c r="BE87" s="4">
        <f t="shared" si="124"/>
        <v>39.501003911042311</v>
      </c>
      <c r="BF87" s="4">
        <f t="shared" si="125"/>
        <v>0.22933854830366102</v>
      </c>
      <c r="BG87" s="88">
        <f t="shared" si="126"/>
        <v>477.94806904882097</v>
      </c>
      <c r="BH87" s="88">
        <f t="shared" si="127"/>
        <v>398.94606122673639</v>
      </c>
      <c r="BI87" s="86">
        <f t="shared" si="128"/>
        <v>5.0907349989800315</v>
      </c>
      <c r="BJ87" s="86">
        <f>10*LOG10(($O87+NseMeas!T_0+BI87)/($O87+NseMeas!T_0))</f>
        <v>3.0245006045761878E-2</v>
      </c>
      <c r="BK87" s="86">
        <f t="shared" si="129"/>
        <v>31.958945865078476</v>
      </c>
      <c r="BL87" s="86">
        <f>10*LOG10(($O87+NseMeas!T_0+BK87)/($O87+NseMeas!T_0))</f>
        <v>0.18647543402094358</v>
      </c>
      <c r="BM87" s="86">
        <f t="shared" si="130"/>
        <v>22.645767451340092</v>
      </c>
      <c r="BN87" s="86">
        <f>10*LOG10(($O87+NseMeas!T_0+BM87)/($O87+NseMeas!T_0))</f>
        <v>0.13295619783758311</v>
      </c>
      <c r="BO87" s="86">
        <f t="shared" si="131"/>
        <v>0.45686199573683128</v>
      </c>
      <c r="BP87" s="86">
        <f>10*LOG10(($O87+NseMeas!T_0+BO87)/($O87+NseMeas!T_0))</f>
        <v>2.7229219493682755E-3</v>
      </c>
      <c r="BQ87" s="86">
        <f t="shared" si="132"/>
        <v>0</v>
      </c>
      <c r="BR87" s="86">
        <f>10*LOG10(($O87+NseMeas!T_0+BQ87)/($O87+NseMeas!T_0))</f>
        <v>0</v>
      </c>
      <c r="BT87" s="86">
        <f t="shared" si="133"/>
        <v>0</v>
      </c>
      <c r="BU87" s="86">
        <f>10*LOG10(($O87+NseMeas!T_0+BT87)/($O87+NseMeas!T_0))</f>
        <v>0</v>
      </c>
      <c r="BV87" s="86">
        <f t="shared" si="134"/>
        <v>31.958945865078476</v>
      </c>
      <c r="BW87" s="86">
        <f>10*LOG10(($O87+NseMeas!T_0+BV87)/($O87+NseMeas!T_0))</f>
        <v>0.18647543402094358</v>
      </c>
      <c r="BX87" s="175">
        <f>UseUserCal*X87*Calibration!AM87*nSD</f>
        <v>0</v>
      </c>
      <c r="BY87" s="86">
        <f>10*LOG10(($O87+NseMeas!T_0+BX87)/($O87+NseMeas!T_0))</f>
        <v>0</v>
      </c>
      <c r="BZ87" s="168">
        <f>UseUserCal*X87*Calibration!AP87*nSD</f>
        <v>0.45096991767149286</v>
      </c>
      <c r="CA87" s="86">
        <f>10*LOG10(($O87+NseMeas!T_0+BZ87)/($O87+NseMeas!T_0))</f>
        <v>2.6878157133072068E-3</v>
      </c>
      <c r="CB87" s="4">
        <f t="shared" si="135"/>
        <v>31.962127505434633</v>
      </c>
      <c r="CC87" s="86">
        <f>10*LOG10(($O87+NseMeas!T_0+CB87)/($O87+NseMeas!T_0))</f>
        <v>0.18649360544435875</v>
      </c>
    </row>
    <row r="88" spans="1:81">
      <c r="A88" s="4">
        <f t="shared" si="136"/>
        <v>26.500001000000001</v>
      </c>
      <c r="B88" s="164">
        <f>T_0*(1+10^('Meas. Noise Std'!AA89/10))</f>
        <v>1207.0605214488303</v>
      </c>
      <c r="C88" s="164">
        <f t="shared" si="93"/>
        <v>298</v>
      </c>
      <c r="D88" s="86">
        <f t="shared" si="94"/>
        <v>298</v>
      </c>
      <c r="E88" s="164">
        <f>IF(UsePreamp,T_0*(10^(Preamp!AE89/10)-1),0)</f>
        <v>627.06052144883006</v>
      </c>
      <c r="F88" s="164">
        <f>T_0*(10^((FieldFox!B88-kT0dB)/10)-1)</f>
        <v>45411.676407373438</v>
      </c>
      <c r="G88" s="86">
        <f>IF(UsePreamp,10^(Preamp!AD89/10),1)</f>
        <v>199.06734581632566</v>
      </c>
      <c r="H88" s="86">
        <f>T_0*(10^(DUT!AE89/10)-1)</f>
        <v>438.4470651377784</v>
      </c>
      <c r="I88" s="86">
        <f>10^(DUT!AD89/10)</f>
        <v>100</v>
      </c>
      <c r="J88" s="87">
        <f t="shared" si="95"/>
        <v>1.622883020530872E-6</v>
      </c>
      <c r="K88" s="87">
        <f t="shared" si="96"/>
        <v>7.3095684618375027E-7</v>
      </c>
      <c r="L88" s="87">
        <f t="shared" si="97"/>
        <v>2.2529120191543056E-9</v>
      </c>
      <c r="M88" s="87">
        <f>IF(UseUserCal,Calibration!M88,0)</f>
        <v>6.1524142648784919E-9</v>
      </c>
      <c r="N88" s="87">
        <f>IF(UseUserCal,Calibration!L88,1)</f>
        <v>199.06734581632574</v>
      </c>
      <c r="O88" s="165">
        <f t="shared" si="98"/>
        <v>438.44706513777868</v>
      </c>
      <c r="P88" s="86">
        <f t="shared" si="99"/>
        <v>99.999999999999943</v>
      </c>
      <c r="Q88" s="170">
        <f t="shared" si="100"/>
        <v>1.1843093476168496E-6</v>
      </c>
      <c r="R88" s="87">
        <f t="shared" si="101"/>
        <v>4.3018303428114972E-7</v>
      </c>
      <c r="S88" s="87">
        <f t="shared" si="102"/>
        <v>1844875354.154526</v>
      </c>
      <c r="T88" s="87">
        <f t="shared" si="103"/>
        <v>825664854.90636683</v>
      </c>
      <c r="U88" s="87">
        <f t="shared" si="104"/>
        <v>0.81010238367386822</v>
      </c>
      <c r="V88" s="87">
        <f t="shared" si="105"/>
        <v>-1.8101023836738681</v>
      </c>
      <c r="W88" s="87">
        <f t="shared" si="106"/>
        <v>5.023425594485369E-5</v>
      </c>
      <c r="X88" s="87">
        <f t="shared" si="107"/>
        <v>1019210499.2481589</v>
      </c>
      <c r="Y88" s="86">
        <f>FieldFox!AG88</f>
        <v>0.1</v>
      </c>
      <c r="Z88" s="86">
        <f>FieldFox!AF88</f>
        <v>0.1</v>
      </c>
      <c r="AA88" s="86">
        <f>FieldFox!AH88</f>
        <v>0.1</v>
      </c>
      <c r="AB88" s="87">
        <f t="shared" si="108"/>
        <v>1.3389238540091567E-3</v>
      </c>
      <c r="AC88" s="87">
        <f t="shared" si="109"/>
        <v>1.3389238540091567E-3</v>
      </c>
      <c r="AD88" s="87">
        <f t="shared" si="110"/>
        <v>1.3389238540091567E-3</v>
      </c>
      <c r="AE88" s="87">
        <f>DUT!AF89</f>
        <v>0.2</v>
      </c>
      <c r="AF88" s="4">
        <f t="shared" si="111"/>
        <v>0.40853898265363492</v>
      </c>
      <c r="AG88" s="4">
        <f>'Meas. Noise Std'!AC89</f>
        <v>0.1</v>
      </c>
      <c r="AH88" s="4">
        <f>'Meas. Noise Std'!AD89</f>
        <v>1</v>
      </c>
      <c r="AI88" s="4">
        <f>DUT!AH89</f>
        <v>0</v>
      </c>
      <c r="AJ88" s="166">
        <f t="shared" si="112"/>
        <v>1.6341559306145403E-2</v>
      </c>
      <c r="AK88" s="166">
        <f t="shared" si="113"/>
        <v>0</v>
      </c>
      <c r="AL88" s="163">
        <f t="shared" si="137"/>
        <v>1.6341559306145403E-2</v>
      </c>
      <c r="AM88" s="4">
        <f t="shared" si="114"/>
        <v>0</v>
      </c>
      <c r="AN88" s="4">
        <f>DUT!AG89</f>
        <v>0.31622776601683794</v>
      </c>
      <c r="AO88" s="4">
        <f>IF(AND(UsePreamp,UseUserCal),Preamp!AF89,0)</f>
        <v>0.3981071705534972</v>
      </c>
      <c r="AP88" s="4">
        <f t="shared" si="115"/>
        <v>0.40853898265363492</v>
      </c>
      <c r="AQ88" s="88">
        <f t="shared" si="116"/>
        <v>1.8055713134491684</v>
      </c>
      <c r="AR88" s="88">
        <f t="shared" si="117"/>
        <v>0</v>
      </c>
      <c r="AS88" s="88">
        <f t="shared" si="138"/>
        <v>1.8055713134491684</v>
      </c>
      <c r="AT88" s="88">
        <f t="shared" si="118"/>
        <v>1.794101024863485</v>
      </c>
      <c r="AU88" s="88">
        <f t="shared" si="119"/>
        <v>15.979472932539238</v>
      </c>
      <c r="AV88" s="88">
        <f t="shared" si="139"/>
        <v>16.079874181384952</v>
      </c>
      <c r="AW88" s="88">
        <f>X88*Calibration!AT88*UseUserCal</f>
        <v>0.22843099786841564</v>
      </c>
      <c r="AX88" s="88">
        <f t="shared" si="120"/>
        <v>3.0744256849308269E-3</v>
      </c>
      <c r="AY88" s="167">
        <f t="shared" si="140"/>
        <v>0.22845168609675937</v>
      </c>
      <c r="AZ88" s="88">
        <f>U88*B88*(10^('Meas. Noise Std'!AB89/(ENRconf*10))-1)</f>
        <v>11.322883725670046</v>
      </c>
      <c r="BA88" s="88">
        <f t="shared" si="121"/>
        <v>0</v>
      </c>
      <c r="BB88" s="88">
        <f t="shared" si="122"/>
        <v>0</v>
      </c>
      <c r="BC88" s="88">
        <f t="shared" si="141"/>
        <v>0</v>
      </c>
      <c r="BD88" s="88">
        <f t="shared" si="123"/>
        <v>19.750501955521155</v>
      </c>
      <c r="BE88" s="4">
        <f t="shared" si="124"/>
        <v>39.501003911042311</v>
      </c>
      <c r="BF88" s="4">
        <f t="shared" si="125"/>
        <v>0.22933854830366102</v>
      </c>
      <c r="BG88" s="88">
        <f t="shared" si="126"/>
        <v>477.94806904882097</v>
      </c>
      <c r="BH88" s="88">
        <f t="shared" si="127"/>
        <v>398.94606122673639</v>
      </c>
      <c r="BI88" s="86">
        <f t="shared" si="128"/>
        <v>5.0907349989800315</v>
      </c>
      <c r="BJ88" s="86">
        <f>10*LOG10(($O88+NseMeas!T_0+BI88)/($O88+NseMeas!T_0))</f>
        <v>3.0245006045761878E-2</v>
      </c>
      <c r="BK88" s="86">
        <f t="shared" si="129"/>
        <v>31.958945865078476</v>
      </c>
      <c r="BL88" s="86">
        <f>10*LOG10(($O88+NseMeas!T_0+BK88)/($O88+NseMeas!T_0))</f>
        <v>0.18647543402094358</v>
      </c>
      <c r="BM88" s="86">
        <f t="shared" si="130"/>
        <v>22.645767451340092</v>
      </c>
      <c r="BN88" s="86">
        <f>10*LOG10(($O88+NseMeas!T_0+BM88)/($O88+NseMeas!T_0))</f>
        <v>0.13295619783758311</v>
      </c>
      <c r="BO88" s="86">
        <f t="shared" si="131"/>
        <v>0.45686199573683128</v>
      </c>
      <c r="BP88" s="86">
        <f>10*LOG10(($O88+NseMeas!T_0+BO88)/($O88+NseMeas!T_0))</f>
        <v>2.7229219493682755E-3</v>
      </c>
      <c r="BQ88" s="86">
        <f t="shared" si="132"/>
        <v>0</v>
      </c>
      <c r="BR88" s="86">
        <f>10*LOG10(($O88+NseMeas!T_0+BQ88)/($O88+NseMeas!T_0))</f>
        <v>0</v>
      </c>
      <c r="BT88" s="86">
        <f t="shared" si="133"/>
        <v>0</v>
      </c>
      <c r="BU88" s="86">
        <f>10*LOG10(($O88+NseMeas!T_0+BT88)/($O88+NseMeas!T_0))</f>
        <v>0</v>
      </c>
      <c r="BV88" s="86">
        <f t="shared" si="134"/>
        <v>31.958945865078476</v>
      </c>
      <c r="BW88" s="86">
        <f>10*LOG10(($O88+NseMeas!T_0+BV88)/($O88+NseMeas!T_0))</f>
        <v>0.18647543402094358</v>
      </c>
      <c r="BX88" s="175">
        <f>UseUserCal*X88*Calibration!AM88*nSD</f>
        <v>0</v>
      </c>
      <c r="BY88" s="86">
        <f>10*LOG10(($O88+NseMeas!T_0+BX88)/($O88+NseMeas!T_0))</f>
        <v>0</v>
      </c>
      <c r="BZ88" s="168">
        <f>UseUserCal*X88*Calibration!AP88*nSD</f>
        <v>0.45096991767149286</v>
      </c>
      <c r="CA88" s="86">
        <f>10*LOG10(($O88+NseMeas!T_0+BZ88)/($O88+NseMeas!T_0))</f>
        <v>2.6878157133072068E-3</v>
      </c>
      <c r="CB88" s="4">
        <f t="shared" si="135"/>
        <v>31.962127505434633</v>
      </c>
      <c r="CC88" s="86">
        <f>10*LOG10(($O88+NseMeas!T_0+CB88)/($O88+NseMeas!T_0))</f>
        <v>0.18649360544435875</v>
      </c>
    </row>
    <row r="89" spans="1:81">
      <c r="A89" s="4">
        <f t="shared" si="136"/>
        <v>26.500001000000001</v>
      </c>
      <c r="B89" s="164">
        <f>T_0*(1+10^('Meas. Noise Std'!AA90/10))</f>
        <v>1207.0605214488303</v>
      </c>
      <c r="C89" s="164">
        <f t="shared" si="93"/>
        <v>298</v>
      </c>
      <c r="D89" s="86">
        <f t="shared" si="94"/>
        <v>298</v>
      </c>
      <c r="E89" s="164">
        <f>IF(UsePreamp,T_0*(10^(Preamp!AE90/10)-1),0)</f>
        <v>627.06052144883006</v>
      </c>
      <c r="F89" s="164">
        <f>T_0*(10^((FieldFox!B89-kT0dB)/10)-1)</f>
        <v>45411.676407373438</v>
      </c>
      <c r="G89" s="86">
        <f>IF(UsePreamp,10^(Preamp!AD90/10),1)</f>
        <v>199.06734581632566</v>
      </c>
      <c r="H89" s="86">
        <f>T_0*(10^(DUT!AE90/10)-1)</f>
        <v>438.4470651377784</v>
      </c>
      <c r="I89" s="86">
        <f>10^(DUT!AD90/10)</f>
        <v>100</v>
      </c>
      <c r="J89" s="87">
        <f t="shared" si="95"/>
        <v>1.622883020530872E-6</v>
      </c>
      <c r="K89" s="87">
        <f t="shared" si="96"/>
        <v>7.3095684618375027E-7</v>
      </c>
      <c r="L89" s="87">
        <f t="shared" si="97"/>
        <v>2.2529120191543056E-9</v>
      </c>
      <c r="M89" s="87">
        <f>IF(UseUserCal,Calibration!M89,0)</f>
        <v>6.1524142648784919E-9</v>
      </c>
      <c r="N89" s="87">
        <f>IF(UseUserCal,Calibration!L89,1)</f>
        <v>199.06734581632574</v>
      </c>
      <c r="O89" s="165">
        <f t="shared" si="98"/>
        <v>438.44706513777868</v>
      </c>
      <c r="P89" s="86">
        <f t="shared" si="99"/>
        <v>99.999999999999943</v>
      </c>
      <c r="Q89" s="170">
        <f t="shared" si="100"/>
        <v>1.1843093476168496E-6</v>
      </c>
      <c r="R89" s="87">
        <f t="shared" si="101"/>
        <v>4.3018303428114972E-7</v>
      </c>
      <c r="S89" s="87">
        <f t="shared" si="102"/>
        <v>1844875354.154526</v>
      </c>
      <c r="T89" s="87">
        <f t="shared" si="103"/>
        <v>825664854.90636683</v>
      </c>
      <c r="U89" s="87">
        <f t="shared" si="104"/>
        <v>0.81010238367386822</v>
      </c>
      <c r="V89" s="87">
        <f t="shared" si="105"/>
        <v>-1.8101023836738681</v>
      </c>
      <c r="W89" s="87">
        <f t="shared" si="106"/>
        <v>5.023425594485369E-5</v>
      </c>
      <c r="X89" s="87">
        <f t="shared" si="107"/>
        <v>1019210499.2481589</v>
      </c>
      <c r="Y89" s="86">
        <f>FieldFox!AG89</f>
        <v>0.1</v>
      </c>
      <c r="Z89" s="86">
        <f>FieldFox!AF89</f>
        <v>0.1</v>
      </c>
      <c r="AA89" s="86">
        <f>FieldFox!AH89</f>
        <v>0.1</v>
      </c>
      <c r="AB89" s="87">
        <f t="shared" si="108"/>
        <v>1.3389238540091567E-3</v>
      </c>
      <c r="AC89" s="87">
        <f t="shared" si="109"/>
        <v>1.3389238540091567E-3</v>
      </c>
      <c r="AD89" s="87">
        <f t="shared" si="110"/>
        <v>1.3389238540091567E-3</v>
      </c>
      <c r="AE89" s="87">
        <f>DUT!AF90</f>
        <v>0.2</v>
      </c>
      <c r="AF89" s="4">
        <f t="shared" si="111"/>
        <v>0.40853898265363492</v>
      </c>
      <c r="AG89" s="4">
        <f>'Meas. Noise Std'!AC90</f>
        <v>0.1</v>
      </c>
      <c r="AH89" s="4">
        <f>'Meas. Noise Std'!AD90</f>
        <v>1</v>
      </c>
      <c r="AI89" s="4">
        <f>DUT!AH90</f>
        <v>0</v>
      </c>
      <c r="AJ89" s="166">
        <f t="shared" si="112"/>
        <v>1.6341559306145403E-2</v>
      </c>
      <c r="AK89" s="166">
        <f t="shared" si="113"/>
        <v>0</v>
      </c>
      <c r="AL89" s="163">
        <f t="shared" si="137"/>
        <v>1.6341559306145403E-2</v>
      </c>
      <c r="AM89" s="4">
        <f t="shared" si="114"/>
        <v>0</v>
      </c>
      <c r="AN89" s="4">
        <f>DUT!AG90</f>
        <v>0.31622776601683794</v>
      </c>
      <c r="AO89" s="4">
        <f>IF(AND(UsePreamp,UseUserCal),Preamp!AF90,0)</f>
        <v>0.3981071705534972</v>
      </c>
      <c r="AP89" s="4">
        <f t="shared" si="115"/>
        <v>0.40853898265363492</v>
      </c>
      <c r="AQ89" s="88">
        <f t="shared" si="116"/>
        <v>1.8055713134491684</v>
      </c>
      <c r="AR89" s="88">
        <f t="shared" si="117"/>
        <v>0</v>
      </c>
      <c r="AS89" s="88">
        <f t="shared" si="138"/>
        <v>1.8055713134491684</v>
      </c>
      <c r="AT89" s="88">
        <f t="shared" si="118"/>
        <v>1.794101024863485</v>
      </c>
      <c r="AU89" s="88">
        <f t="shared" si="119"/>
        <v>15.979472932539238</v>
      </c>
      <c r="AV89" s="88">
        <f t="shared" si="139"/>
        <v>16.079874181384952</v>
      </c>
      <c r="AW89" s="88">
        <f>X89*Calibration!AT89*UseUserCal</f>
        <v>0.22843099786841564</v>
      </c>
      <c r="AX89" s="88">
        <f t="shared" si="120"/>
        <v>3.0744256849308269E-3</v>
      </c>
      <c r="AY89" s="167">
        <f t="shared" si="140"/>
        <v>0.22845168609675937</v>
      </c>
      <c r="AZ89" s="88">
        <f>U89*B89*(10^('Meas. Noise Std'!AB90/(ENRconf*10))-1)</f>
        <v>11.322883725670046</v>
      </c>
      <c r="BA89" s="88">
        <f t="shared" si="121"/>
        <v>0</v>
      </c>
      <c r="BB89" s="88">
        <f t="shared" si="122"/>
        <v>0</v>
      </c>
      <c r="BC89" s="88">
        <f t="shared" si="141"/>
        <v>0</v>
      </c>
      <c r="BD89" s="88">
        <f t="shared" si="123"/>
        <v>19.750501955521155</v>
      </c>
      <c r="BE89" s="4">
        <f t="shared" si="124"/>
        <v>39.501003911042311</v>
      </c>
      <c r="BF89" s="4">
        <f t="shared" si="125"/>
        <v>0.22933854830366102</v>
      </c>
      <c r="BG89" s="88">
        <f t="shared" si="126"/>
        <v>477.94806904882097</v>
      </c>
      <c r="BH89" s="88">
        <f t="shared" si="127"/>
        <v>398.94606122673639</v>
      </c>
      <c r="BI89" s="86">
        <f t="shared" si="128"/>
        <v>5.0907349989800315</v>
      </c>
      <c r="BJ89" s="86">
        <f>10*LOG10(($O89+NseMeas!T_0+BI89)/($O89+NseMeas!T_0))</f>
        <v>3.0245006045761878E-2</v>
      </c>
      <c r="BK89" s="86">
        <f t="shared" si="129"/>
        <v>31.958945865078476</v>
      </c>
      <c r="BL89" s="86">
        <f>10*LOG10(($O89+NseMeas!T_0+BK89)/($O89+NseMeas!T_0))</f>
        <v>0.18647543402094358</v>
      </c>
      <c r="BM89" s="86">
        <f t="shared" si="130"/>
        <v>22.645767451340092</v>
      </c>
      <c r="BN89" s="86">
        <f>10*LOG10(($O89+NseMeas!T_0+BM89)/($O89+NseMeas!T_0))</f>
        <v>0.13295619783758311</v>
      </c>
      <c r="BO89" s="86">
        <f t="shared" si="131"/>
        <v>0.45686199573683128</v>
      </c>
      <c r="BP89" s="86">
        <f>10*LOG10(($O89+NseMeas!T_0+BO89)/($O89+NseMeas!T_0))</f>
        <v>2.7229219493682755E-3</v>
      </c>
      <c r="BQ89" s="86">
        <f t="shared" si="132"/>
        <v>0</v>
      </c>
      <c r="BR89" s="86">
        <f>10*LOG10(($O89+NseMeas!T_0+BQ89)/($O89+NseMeas!T_0))</f>
        <v>0</v>
      </c>
      <c r="BT89" s="86">
        <f t="shared" si="133"/>
        <v>0</v>
      </c>
      <c r="BU89" s="86">
        <f>10*LOG10(($O89+NseMeas!T_0+BT89)/($O89+NseMeas!T_0))</f>
        <v>0</v>
      </c>
      <c r="BV89" s="86">
        <f t="shared" si="134"/>
        <v>31.958945865078476</v>
      </c>
      <c r="BW89" s="86">
        <f>10*LOG10(($O89+NseMeas!T_0+BV89)/($O89+NseMeas!T_0))</f>
        <v>0.18647543402094358</v>
      </c>
      <c r="BX89" s="175">
        <f>UseUserCal*X89*Calibration!AM89*nSD</f>
        <v>0</v>
      </c>
      <c r="BY89" s="86">
        <f>10*LOG10(($O89+NseMeas!T_0+BX89)/($O89+NseMeas!T_0))</f>
        <v>0</v>
      </c>
      <c r="BZ89" s="168">
        <f>UseUserCal*X89*Calibration!AP89*nSD</f>
        <v>0.45096991767149286</v>
      </c>
      <c r="CA89" s="86">
        <f>10*LOG10(($O89+NseMeas!T_0+BZ89)/($O89+NseMeas!T_0))</f>
        <v>2.6878157133072068E-3</v>
      </c>
      <c r="CB89" s="4">
        <f t="shared" si="135"/>
        <v>31.962127505434633</v>
      </c>
      <c r="CC89" s="86">
        <f>10*LOG10(($O89+NseMeas!T_0+CB89)/($O89+NseMeas!T_0))</f>
        <v>0.18649360544435875</v>
      </c>
    </row>
    <row r="90" spans="1:81">
      <c r="A90" s="4">
        <f t="shared" si="136"/>
        <v>26.500001000000001</v>
      </c>
      <c r="B90" s="164">
        <f>T_0*(1+10^('Meas. Noise Std'!AA91/10))</f>
        <v>1207.0605214488303</v>
      </c>
      <c r="C90" s="164">
        <f t="shared" si="93"/>
        <v>298</v>
      </c>
      <c r="D90" s="86">
        <f t="shared" si="94"/>
        <v>298</v>
      </c>
      <c r="E90" s="164">
        <f>IF(UsePreamp,T_0*(10^(Preamp!AE91/10)-1),0)</f>
        <v>627.06052144883006</v>
      </c>
      <c r="F90" s="164">
        <f>T_0*(10^((FieldFox!B90-kT0dB)/10)-1)</f>
        <v>45411.676407373438</v>
      </c>
      <c r="G90" s="86">
        <f>IF(UsePreamp,10^(Preamp!AD91/10),1)</f>
        <v>199.06734581632566</v>
      </c>
      <c r="H90" s="86">
        <f>T_0*(10^(DUT!AE91/10)-1)</f>
        <v>438.4470651377784</v>
      </c>
      <c r="I90" s="86">
        <f>10^(DUT!AD91/10)</f>
        <v>100</v>
      </c>
      <c r="J90" s="87">
        <f t="shared" si="95"/>
        <v>1.622883020530872E-6</v>
      </c>
      <c r="K90" s="87">
        <f t="shared" si="96"/>
        <v>7.3095684618375027E-7</v>
      </c>
      <c r="L90" s="87">
        <f t="shared" si="97"/>
        <v>2.2529120191543056E-9</v>
      </c>
      <c r="M90" s="87">
        <f>IF(UseUserCal,Calibration!M90,0)</f>
        <v>6.1524142648784919E-9</v>
      </c>
      <c r="N90" s="87">
        <f>IF(UseUserCal,Calibration!L90,1)</f>
        <v>199.06734581632574</v>
      </c>
      <c r="O90" s="165">
        <f t="shared" si="98"/>
        <v>438.44706513777868</v>
      </c>
      <c r="P90" s="86">
        <f t="shared" si="99"/>
        <v>99.999999999999943</v>
      </c>
      <c r="Q90" s="170">
        <f t="shared" si="100"/>
        <v>1.1843093476168496E-6</v>
      </c>
      <c r="R90" s="87">
        <f t="shared" si="101"/>
        <v>4.3018303428114972E-7</v>
      </c>
      <c r="S90" s="87">
        <f t="shared" si="102"/>
        <v>1844875354.154526</v>
      </c>
      <c r="T90" s="87">
        <f t="shared" si="103"/>
        <v>825664854.90636683</v>
      </c>
      <c r="U90" s="87">
        <f t="shared" si="104"/>
        <v>0.81010238367386822</v>
      </c>
      <c r="V90" s="87">
        <f t="shared" si="105"/>
        <v>-1.8101023836738681</v>
      </c>
      <c r="W90" s="87">
        <f t="shared" si="106"/>
        <v>5.023425594485369E-5</v>
      </c>
      <c r="X90" s="87">
        <f t="shared" si="107"/>
        <v>1019210499.2481589</v>
      </c>
      <c r="Y90" s="86">
        <f>FieldFox!AG90</f>
        <v>0.1</v>
      </c>
      <c r="Z90" s="86">
        <f>FieldFox!AF90</f>
        <v>0.1</v>
      </c>
      <c r="AA90" s="86">
        <f>FieldFox!AH90</f>
        <v>0.1</v>
      </c>
      <c r="AB90" s="87">
        <f t="shared" si="108"/>
        <v>1.3389238540091567E-3</v>
      </c>
      <c r="AC90" s="87">
        <f t="shared" si="109"/>
        <v>1.3389238540091567E-3</v>
      </c>
      <c r="AD90" s="87">
        <f t="shared" si="110"/>
        <v>1.3389238540091567E-3</v>
      </c>
      <c r="AE90" s="87">
        <f>DUT!AF91</f>
        <v>0.2</v>
      </c>
      <c r="AF90" s="4">
        <f t="shared" si="111"/>
        <v>0.40853898265363492</v>
      </c>
      <c r="AG90" s="4">
        <f>'Meas. Noise Std'!AC91</f>
        <v>0.1</v>
      </c>
      <c r="AH90" s="4">
        <f>'Meas. Noise Std'!AD91</f>
        <v>1</v>
      </c>
      <c r="AI90" s="4">
        <f>DUT!AH91</f>
        <v>0</v>
      </c>
      <c r="AJ90" s="166">
        <f t="shared" si="112"/>
        <v>1.6341559306145403E-2</v>
      </c>
      <c r="AK90" s="166">
        <f t="shared" si="113"/>
        <v>0</v>
      </c>
      <c r="AL90" s="163">
        <f t="shared" si="137"/>
        <v>1.6341559306145403E-2</v>
      </c>
      <c r="AM90" s="4">
        <f t="shared" si="114"/>
        <v>0</v>
      </c>
      <c r="AN90" s="4">
        <f>DUT!AG91</f>
        <v>0.31622776601683794</v>
      </c>
      <c r="AO90" s="4">
        <f>IF(AND(UsePreamp,UseUserCal),Preamp!AF91,0)</f>
        <v>0.3981071705534972</v>
      </c>
      <c r="AP90" s="4">
        <f t="shared" si="115"/>
        <v>0.40853898265363492</v>
      </c>
      <c r="AQ90" s="88">
        <f t="shared" si="116"/>
        <v>1.8055713134491684</v>
      </c>
      <c r="AR90" s="88">
        <f t="shared" si="117"/>
        <v>0</v>
      </c>
      <c r="AS90" s="88">
        <f t="shared" si="138"/>
        <v>1.8055713134491684</v>
      </c>
      <c r="AT90" s="88">
        <f t="shared" si="118"/>
        <v>1.794101024863485</v>
      </c>
      <c r="AU90" s="88">
        <f t="shared" si="119"/>
        <v>15.979472932539238</v>
      </c>
      <c r="AV90" s="88">
        <f t="shared" si="139"/>
        <v>16.079874181384952</v>
      </c>
      <c r="AW90" s="88">
        <f>X90*Calibration!AT90*UseUserCal</f>
        <v>0.22843099786841564</v>
      </c>
      <c r="AX90" s="88">
        <f t="shared" si="120"/>
        <v>3.0744256849308269E-3</v>
      </c>
      <c r="AY90" s="167">
        <f t="shared" si="140"/>
        <v>0.22845168609675937</v>
      </c>
      <c r="AZ90" s="88">
        <f>U90*B90*(10^('Meas. Noise Std'!AB91/(ENRconf*10))-1)</f>
        <v>11.322883725670046</v>
      </c>
      <c r="BA90" s="88">
        <f t="shared" si="121"/>
        <v>0</v>
      </c>
      <c r="BB90" s="88">
        <f t="shared" si="122"/>
        <v>0</v>
      </c>
      <c r="BC90" s="88">
        <f t="shared" si="141"/>
        <v>0</v>
      </c>
      <c r="BD90" s="88">
        <f t="shared" si="123"/>
        <v>19.750501955521155</v>
      </c>
      <c r="BE90" s="4">
        <f t="shared" si="124"/>
        <v>39.501003911042311</v>
      </c>
      <c r="BF90" s="4">
        <f t="shared" si="125"/>
        <v>0.22933854830366102</v>
      </c>
      <c r="BG90" s="88">
        <f t="shared" si="126"/>
        <v>477.94806904882097</v>
      </c>
      <c r="BH90" s="88">
        <f t="shared" si="127"/>
        <v>398.94606122673639</v>
      </c>
      <c r="BI90" s="86">
        <f t="shared" si="128"/>
        <v>5.0907349989800315</v>
      </c>
      <c r="BJ90" s="86">
        <f>10*LOG10(($O90+NseMeas!T_0+BI90)/($O90+NseMeas!T_0))</f>
        <v>3.0245006045761878E-2</v>
      </c>
      <c r="BK90" s="86">
        <f t="shared" si="129"/>
        <v>31.958945865078476</v>
      </c>
      <c r="BL90" s="86">
        <f>10*LOG10(($O90+NseMeas!T_0+BK90)/($O90+NseMeas!T_0))</f>
        <v>0.18647543402094358</v>
      </c>
      <c r="BM90" s="86">
        <f t="shared" si="130"/>
        <v>22.645767451340092</v>
      </c>
      <c r="BN90" s="86">
        <f>10*LOG10(($O90+NseMeas!T_0+BM90)/($O90+NseMeas!T_0))</f>
        <v>0.13295619783758311</v>
      </c>
      <c r="BO90" s="86">
        <f t="shared" si="131"/>
        <v>0.45686199573683128</v>
      </c>
      <c r="BP90" s="86">
        <f>10*LOG10(($O90+NseMeas!T_0+BO90)/($O90+NseMeas!T_0))</f>
        <v>2.7229219493682755E-3</v>
      </c>
      <c r="BQ90" s="86">
        <f t="shared" si="132"/>
        <v>0</v>
      </c>
      <c r="BR90" s="86">
        <f>10*LOG10(($O90+NseMeas!T_0+BQ90)/($O90+NseMeas!T_0))</f>
        <v>0</v>
      </c>
      <c r="BT90" s="86">
        <f t="shared" si="133"/>
        <v>0</v>
      </c>
      <c r="BU90" s="86">
        <f>10*LOG10(($O90+NseMeas!T_0+BT90)/($O90+NseMeas!T_0))</f>
        <v>0</v>
      </c>
      <c r="BV90" s="86">
        <f t="shared" si="134"/>
        <v>31.958945865078476</v>
      </c>
      <c r="BW90" s="86">
        <f>10*LOG10(($O90+NseMeas!T_0+BV90)/($O90+NseMeas!T_0))</f>
        <v>0.18647543402094358</v>
      </c>
      <c r="BX90" s="175">
        <f>UseUserCal*X90*Calibration!AM90*nSD</f>
        <v>0</v>
      </c>
      <c r="BY90" s="86">
        <f>10*LOG10(($O90+NseMeas!T_0+BX90)/($O90+NseMeas!T_0))</f>
        <v>0</v>
      </c>
      <c r="BZ90" s="168">
        <f>UseUserCal*X90*Calibration!AP90*nSD</f>
        <v>0.45096991767149286</v>
      </c>
      <c r="CA90" s="86">
        <f>10*LOG10(($O90+NseMeas!T_0+BZ90)/($O90+NseMeas!T_0))</f>
        <v>2.6878157133072068E-3</v>
      </c>
      <c r="CB90" s="4">
        <f t="shared" si="135"/>
        <v>31.962127505434633</v>
      </c>
      <c r="CC90" s="86">
        <f>10*LOG10(($O90+NseMeas!T_0+CB90)/($O90+NseMeas!T_0))</f>
        <v>0.18649360544435875</v>
      </c>
    </row>
    <row r="91" spans="1:81">
      <c r="A91" s="4">
        <f t="shared" si="136"/>
        <v>26.500001000000001</v>
      </c>
      <c r="B91" s="164">
        <f>T_0*(1+10^('Meas. Noise Std'!AA92/10))</f>
        <v>1207.0605214488303</v>
      </c>
      <c r="C91" s="164">
        <f t="shared" si="93"/>
        <v>298</v>
      </c>
      <c r="D91" s="86">
        <f t="shared" si="94"/>
        <v>298</v>
      </c>
      <c r="E91" s="164">
        <f>IF(UsePreamp,T_0*(10^(Preamp!AE92/10)-1),0)</f>
        <v>627.06052144883006</v>
      </c>
      <c r="F91" s="164">
        <f>T_0*(10^((FieldFox!B91-kT0dB)/10)-1)</f>
        <v>45411.676407373438</v>
      </c>
      <c r="G91" s="86">
        <f>IF(UsePreamp,10^(Preamp!AD92/10),1)</f>
        <v>199.06734581632566</v>
      </c>
      <c r="H91" s="86">
        <f>T_0*(10^(DUT!AE92/10)-1)</f>
        <v>438.4470651377784</v>
      </c>
      <c r="I91" s="86">
        <f>10^(DUT!AD92/10)</f>
        <v>100</v>
      </c>
      <c r="J91" s="87">
        <f t="shared" si="95"/>
        <v>1.622883020530872E-6</v>
      </c>
      <c r="K91" s="87">
        <f t="shared" si="96"/>
        <v>7.3095684618375027E-7</v>
      </c>
      <c r="L91" s="87">
        <f t="shared" si="97"/>
        <v>2.2529120191543056E-9</v>
      </c>
      <c r="M91" s="87">
        <f>IF(UseUserCal,Calibration!M91,0)</f>
        <v>6.1524142648784919E-9</v>
      </c>
      <c r="N91" s="87">
        <f>IF(UseUserCal,Calibration!L91,1)</f>
        <v>199.06734581632574</v>
      </c>
      <c r="O91" s="165">
        <f t="shared" si="98"/>
        <v>438.44706513777868</v>
      </c>
      <c r="P91" s="86">
        <f t="shared" si="99"/>
        <v>99.999999999999943</v>
      </c>
      <c r="Q91" s="170">
        <f t="shared" si="100"/>
        <v>1.1843093476168496E-6</v>
      </c>
      <c r="R91" s="87">
        <f t="shared" si="101"/>
        <v>4.3018303428114972E-7</v>
      </c>
      <c r="S91" s="87">
        <f t="shared" si="102"/>
        <v>1844875354.154526</v>
      </c>
      <c r="T91" s="87">
        <f t="shared" si="103"/>
        <v>825664854.90636683</v>
      </c>
      <c r="U91" s="87">
        <f t="shared" si="104"/>
        <v>0.81010238367386822</v>
      </c>
      <c r="V91" s="87">
        <f t="shared" si="105"/>
        <v>-1.8101023836738681</v>
      </c>
      <c r="W91" s="87">
        <f t="shared" si="106"/>
        <v>5.023425594485369E-5</v>
      </c>
      <c r="X91" s="87">
        <f t="shared" si="107"/>
        <v>1019210499.2481589</v>
      </c>
      <c r="Y91" s="86">
        <f>FieldFox!AG91</f>
        <v>0.1</v>
      </c>
      <c r="Z91" s="86">
        <f>FieldFox!AF91</f>
        <v>0.1</v>
      </c>
      <c r="AA91" s="86">
        <f>FieldFox!AH91</f>
        <v>0.1</v>
      </c>
      <c r="AB91" s="87">
        <f t="shared" si="108"/>
        <v>1.3389238540091567E-3</v>
      </c>
      <c r="AC91" s="87">
        <f t="shared" si="109"/>
        <v>1.3389238540091567E-3</v>
      </c>
      <c r="AD91" s="87">
        <f t="shared" si="110"/>
        <v>1.3389238540091567E-3</v>
      </c>
      <c r="AE91" s="87">
        <f>DUT!AF92</f>
        <v>0.2</v>
      </c>
      <c r="AF91" s="4">
        <f t="shared" si="111"/>
        <v>0.40853898265363492</v>
      </c>
      <c r="AG91" s="4">
        <f>'Meas. Noise Std'!AC92</f>
        <v>0.1</v>
      </c>
      <c r="AH91" s="4">
        <f>'Meas. Noise Std'!AD92</f>
        <v>1</v>
      </c>
      <c r="AI91" s="4">
        <f>DUT!AH92</f>
        <v>0</v>
      </c>
      <c r="AJ91" s="166">
        <f t="shared" si="112"/>
        <v>1.6341559306145403E-2</v>
      </c>
      <c r="AK91" s="166">
        <f t="shared" si="113"/>
        <v>0</v>
      </c>
      <c r="AL91" s="163">
        <f t="shared" si="137"/>
        <v>1.6341559306145403E-2</v>
      </c>
      <c r="AM91" s="4">
        <f t="shared" si="114"/>
        <v>0</v>
      </c>
      <c r="AN91" s="4">
        <f>DUT!AG92</f>
        <v>0.31622776601683794</v>
      </c>
      <c r="AO91" s="4">
        <f>IF(AND(UsePreamp,UseUserCal),Preamp!AF92,0)</f>
        <v>0.3981071705534972</v>
      </c>
      <c r="AP91" s="4">
        <f t="shared" si="115"/>
        <v>0.40853898265363492</v>
      </c>
      <c r="AQ91" s="88">
        <f t="shared" si="116"/>
        <v>1.8055713134491684</v>
      </c>
      <c r="AR91" s="88">
        <f t="shared" si="117"/>
        <v>0</v>
      </c>
      <c r="AS91" s="88">
        <f t="shared" si="138"/>
        <v>1.8055713134491684</v>
      </c>
      <c r="AT91" s="88">
        <f t="shared" si="118"/>
        <v>1.794101024863485</v>
      </c>
      <c r="AU91" s="88">
        <f t="shared" si="119"/>
        <v>15.979472932539238</v>
      </c>
      <c r="AV91" s="88">
        <f t="shared" si="139"/>
        <v>16.079874181384952</v>
      </c>
      <c r="AW91" s="88">
        <f>X91*Calibration!AT91*UseUserCal</f>
        <v>0.22843099786841564</v>
      </c>
      <c r="AX91" s="88">
        <f t="shared" si="120"/>
        <v>3.0744256849308269E-3</v>
      </c>
      <c r="AY91" s="167">
        <f t="shared" si="140"/>
        <v>0.22845168609675937</v>
      </c>
      <c r="AZ91" s="88">
        <f>U91*B91*(10^('Meas. Noise Std'!AB92/(ENRconf*10))-1)</f>
        <v>11.322883725670046</v>
      </c>
      <c r="BA91" s="88">
        <f t="shared" si="121"/>
        <v>0</v>
      </c>
      <c r="BB91" s="88">
        <f t="shared" si="122"/>
        <v>0</v>
      </c>
      <c r="BC91" s="88">
        <f t="shared" si="141"/>
        <v>0</v>
      </c>
      <c r="BD91" s="88">
        <f t="shared" si="123"/>
        <v>19.750501955521155</v>
      </c>
      <c r="BE91" s="4">
        <f t="shared" si="124"/>
        <v>39.501003911042311</v>
      </c>
      <c r="BF91" s="4">
        <f t="shared" si="125"/>
        <v>0.22933854830366102</v>
      </c>
      <c r="BG91" s="88">
        <f t="shared" si="126"/>
        <v>477.94806904882097</v>
      </c>
      <c r="BH91" s="88">
        <f t="shared" si="127"/>
        <v>398.94606122673639</v>
      </c>
      <c r="BI91" s="86">
        <f t="shared" si="128"/>
        <v>5.0907349989800315</v>
      </c>
      <c r="BJ91" s="86">
        <f>10*LOG10(($O91+NseMeas!T_0+BI91)/($O91+NseMeas!T_0))</f>
        <v>3.0245006045761878E-2</v>
      </c>
      <c r="BK91" s="86">
        <f t="shared" si="129"/>
        <v>31.958945865078476</v>
      </c>
      <c r="BL91" s="86">
        <f>10*LOG10(($O91+NseMeas!T_0+BK91)/($O91+NseMeas!T_0))</f>
        <v>0.18647543402094358</v>
      </c>
      <c r="BM91" s="86">
        <f t="shared" si="130"/>
        <v>22.645767451340092</v>
      </c>
      <c r="BN91" s="86">
        <f>10*LOG10(($O91+NseMeas!T_0+BM91)/($O91+NseMeas!T_0))</f>
        <v>0.13295619783758311</v>
      </c>
      <c r="BO91" s="86">
        <f t="shared" si="131"/>
        <v>0.45686199573683128</v>
      </c>
      <c r="BP91" s="86">
        <f>10*LOG10(($O91+NseMeas!T_0+BO91)/($O91+NseMeas!T_0))</f>
        <v>2.7229219493682755E-3</v>
      </c>
      <c r="BQ91" s="86">
        <f t="shared" si="132"/>
        <v>0</v>
      </c>
      <c r="BR91" s="86">
        <f>10*LOG10(($O91+NseMeas!T_0+BQ91)/($O91+NseMeas!T_0))</f>
        <v>0</v>
      </c>
      <c r="BT91" s="86">
        <f t="shared" si="133"/>
        <v>0</v>
      </c>
      <c r="BU91" s="86">
        <f>10*LOG10(($O91+NseMeas!T_0+BT91)/($O91+NseMeas!T_0))</f>
        <v>0</v>
      </c>
      <c r="BV91" s="86">
        <f t="shared" si="134"/>
        <v>31.958945865078476</v>
      </c>
      <c r="BW91" s="86">
        <f>10*LOG10(($O91+NseMeas!T_0+BV91)/($O91+NseMeas!T_0))</f>
        <v>0.18647543402094358</v>
      </c>
      <c r="BX91" s="175">
        <f>UseUserCal*X91*Calibration!AM91*nSD</f>
        <v>0</v>
      </c>
      <c r="BY91" s="86">
        <f>10*LOG10(($O91+NseMeas!T_0+BX91)/($O91+NseMeas!T_0))</f>
        <v>0</v>
      </c>
      <c r="BZ91" s="168">
        <f>UseUserCal*X91*Calibration!AP91*nSD</f>
        <v>0.45096991767149286</v>
      </c>
      <c r="CA91" s="86">
        <f>10*LOG10(($O91+NseMeas!T_0+BZ91)/($O91+NseMeas!T_0))</f>
        <v>2.6878157133072068E-3</v>
      </c>
      <c r="CB91" s="4">
        <f t="shared" si="135"/>
        <v>31.962127505434633</v>
      </c>
      <c r="CC91" s="86">
        <f>10*LOG10(($O91+NseMeas!T_0+CB91)/($O91+NseMeas!T_0))</f>
        <v>0.18649360544435875</v>
      </c>
    </row>
    <row r="92" spans="1:81">
      <c r="A92" s="4">
        <f t="shared" si="136"/>
        <v>26.500001000000001</v>
      </c>
      <c r="B92" s="164">
        <f>T_0*(1+10^('Meas. Noise Std'!AA93/10))</f>
        <v>1207.0605214488303</v>
      </c>
      <c r="C92" s="164">
        <f t="shared" si="93"/>
        <v>298</v>
      </c>
      <c r="D92" s="86">
        <f t="shared" si="94"/>
        <v>298</v>
      </c>
      <c r="E92" s="164">
        <f>IF(UsePreamp,T_0*(10^(Preamp!AE93/10)-1),0)</f>
        <v>627.06052144883006</v>
      </c>
      <c r="F92" s="164">
        <f>T_0*(10^((FieldFox!B92-kT0dB)/10)-1)</f>
        <v>45411.676407373438</v>
      </c>
      <c r="G92" s="86">
        <f>IF(UsePreamp,10^(Preamp!AD93/10),1)</f>
        <v>199.06734581632566</v>
      </c>
      <c r="H92" s="86">
        <f>T_0*(10^(DUT!AE93/10)-1)</f>
        <v>438.4470651377784</v>
      </c>
      <c r="I92" s="86">
        <f>10^(DUT!AD93/10)</f>
        <v>100</v>
      </c>
      <c r="J92" s="87">
        <f t="shared" si="95"/>
        <v>1.622883020530872E-6</v>
      </c>
      <c r="K92" s="87">
        <f t="shared" si="96"/>
        <v>7.3095684618375027E-7</v>
      </c>
      <c r="L92" s="87">
        <f t="shared" si="97"/>
        <v>2.2529120191543056E-9</v>
      </c>
      <c r="M92" s="87">
        <f>IF(UseUserCal,Calibration!M92,0)</f>
        <v>6.1524142648784919E-9</v>
      </c>
      <c r="N92" s="87">
        <f>IF(UseUserCal,Calibration!L92,1)</f>
        <v>199.06734581632574</v>
      </c>
      <c r="O92" s="165">
        <f t="shared" si="98"/>
        <v>438.44706513777868</v>
      </c>
      <c r="P92" s="86">
        <f t="shared" si="99"/>
        <v>99.999999999999943</v>
      </c>
      <c r="Q92" s="170">
        <f t="shared" si="100"/>
        <v>1.1843093476168496E-6</v>
      </c>
      <c r="R92" s="87">
        <f t="shared" si="101"/>
        <v>4.3018303428114972E-7</v>
      </c>
      <c r="S92" s="87">
        <f t="shared" si="102"/>
        <v>1844875354.154526</v>
      </c>
      <c r="T92" s="87">
        <f t="shared" si="103"/>
        <v>825664854.90636683</v>
      </c>
      <c r="U92" s="87">
        <f t="shared" si="104"/>
        <v>0.81010238367386822</v>
      </c>
      <c r="V92" s="87">
        <f t="shared" si="105"/>
        <v>-1.8101023836738681</v>
      </c>
      <c r="W92" s="87">
        <f t="shared" si="106"/>
        <v>5.023425594485369E-5</v>
      </c>
      <c r="X92" s="87">
        <f t="shared" si="107"/>
        <v>1019210499.2481589</v>
      </c>
      <c r="Y92" s="86">
        <f>FieldFox!AG92</f>
        <v>0.1</v>
      </c>
      <c r="Z92" s="86">
        <f>FieldFox!AF92</f>
        <v>0.1</v>
      </c>
      <c r="AA92" s="86">
        <f>FieldFox!AH92</f>
        <v>0.1</v>
      </c>
      <c r="AB92" s="87">
        <f t="shared" si="108"/>
        <v>1.3389238540091567E-3</v>
      </c>
      <c r="AC92" s="87">
        <f t="shared" si="109"/>
        <v>1.3389238540091567E-3</v>
      </c>
      <c r="AD92" s="87">
        <f t="shared" si="110"/>
        <v>1.3389238540091567E-3</v>
      </c>
      <c r="AE92" s="87">
        <f>DUT!AF93</f>
        <v>0.2</v>
      </c>
      <c r="AF92" s="4">
        <f t="shared" si="111"/>
        <v>0.40853898265363492</v>
      </c>
      <c r="AG92" s="4">
        <f>'Meas. Noise Std'!AC93</f>
        <v>0.1</v>
      </c>
      <c r="AH92" s="4">
        <f>'Meas. Noise Std'!AD93</f>
        <v>1</v>
      </c>
      <c r="AI92" s="4">
        <f>DUT!AH93</f>
        <v>0</v>
      </c>
      <c r="AJ92" s="166">
        <f t="shared" si="112"/>
        <v>1.6341559306145403E-2</v>
      </c>
      <c r="AK92" s="166">
        <f t="shared" si="113"/>
        <v>0</v>
      </c>
      <c r="AL92" s="163">
        <f t="shared" si="137"/>
        <v>1.6341559306145403E-2</v>
      </c>
      <c r="AM92" s="4">
        <f t="shared" si="114"/>
        <v>0</v>
      </c>
      <c r="AN92" s="4">
        <f>DUT!AG93</f>
        <v>0.31622776601683794</v>
      </c>
      <c r="AO92" s="4">
        <f>IF(AND(UsePreamp,UseUserCal),Preamp!AF93,0)</f>
        <v>0.3981071705534972</v>
      </c>
      <c r="AP92" s="4">
        <f t="shared" si="115"/>
        <v>0.40853898265363492</v>
      </c>
      <c r="AQ92" s="88">
        <f t="shared" si="116"/>
        <v>1.8055713134491684</v>
      </c>
      <c r="AR92" s="88">
        <f t="shared" si="117"/>
        <v>0</v>
      </c>
      <c r="AS92" s="88">
        <f t="shared" si="138"/>
        <v>1.8055713134491684</v>
      </c>
      <c r="AT92" s="88">
        <f t="shared" si="118"/>
        <v>1.794101024863485</v>
      </c>
      <c r="AU92" s="88">
        <f t="shared" si="119"/>
        <v>15.979472932539238</v>
      </c>
      <c r="AV92" s="88">
        <f t="shared" si="139"/>
        <v>16.079874181384952</v>
      </c>
      <c r="AW92" s="88">
        <f>X92*Calibration!AT92*UseUserCal</f>
        <v>0.22843099786841564</v>
      </c>
      <c r="AX92" s="88">
        <f t="shared" si="120"/>
        <v>3.0744256849308269E-3</v>
      </c>
      <c r="AY92" s="167">
        <f t="shared" si="140"/>
        <v>0.22845168609675937</v>
      </c>
      <c r="AZ92" s="88">
        <f>U92*B92*(10^('Meas. Noise Std'!AB93/(ENRconf*10))-1)</f>
        <v>11.322883725670046</v>
      </c>
      <c r="BA92" s="88">
        <f t="shared" si="121"/>
        <v>0</v>
      </c>
      <c r="BB92" s="88">
        <f t="shared" si="122"/>
        <v>0</v>
      </c>
      <c r="BC92" s="88">
        <f t="shared" si="141"/>
        <v>0</v>
      </c>
      <c r="BD92" s="88">
        <f t="shared" si="123"/>
        <v>19.750501955521155</v>
      </c>
      <c r="BE92" s="4">
        <f t="shared" si="124"/>
        <v>39.501003911042311</v>
      </c>
      <c r="BF92" s="4">
        <f t="shared" si="125"/>
        <v>0.22933854830366102</v>
      </c>
      <c r="BG92" s="88">
        <f t="shared" si="126"/>
        <v>477.94806904882097</v>
      </c>
      <c r="BH92" s="88">
        <f t="shared" si="127"/>
        <v>398.94606122673639</v>
      </c>
      <c r="BI92" s="86">
        <f t="shared" si="128"/>
        <v>5.0907349989800315</v>
      </c>
      <c r="BJ92" s="86">
        <f>10*LOG10(($O92+NseMeas!T_0+BI92)/($O92+NseMeas!T_0))</f>
        <v>3.0245006045761878E-2</v>
      </c>
      <c r="BK92" s="86">
        <f t="shared" si="129"/>
        <v>31.958945865078476</v>
      </c>
      <c r="BL92" s="86">
        <f>10*LOG10(($O92+NseMeas!T_0+BK92)/($O92+NseMeas!T_0))</f>
        <v>0.18647543402094358</v>
      </c>
      <c r="BM92" s="86">
        <f t="shared" si="130"/>
        <v>22.645767451340092</v>
      </c>
      <c r="BN92" s="86">
        <f>10*LOG10(($O92+NseMeas!T_0+BM92)/($O92+NseMeas!T_0))</f>
        <v>0.13295619783758311</v>
      </c>
      <c r="BO92" s="86">
        <f t="shared" si="131"/>
        <v>0.45686199573683128</v>
      </c>
      <c r="BP92" s="86">
        <f>10*LOG10(($O92+NseMeas!T_0+BO92)/($O92+NseMeas!T_0))</f>
        <v>2.7229219493682755E-3</v>
      </c>
      <c r="BQ92" s="86">
        <f t="shared" si="132"/>
        <v>0</v>
      </c>
      <c r="BR92" s="86">
        <f>10*LOG10(($O92+NseMeas!T_0+BQ92)/($O92+NseMeas!T_0))</f>
        <v>0</v>
      </c>
      <c r="BT92" s="86">
        <f t="shared" si="133"/>
        <v>0</v>
      </c>
      <c r="BU92" s="86">
        <f>10*LOG10(($O92+NseMeas!T_0+BT92)/($O92+NseMeas!T_0))</f>
        <v>0</v>
      </c>
      <c r="BV92" s="86">
        <f t="shared" si="134"/>
        <v>31.958945865078476</v>
      </c>
      <c r="BW92" s="86">
        <f>10*LOG10(($O92+NseMeas!T_0+BV92)/($O92+NseMeas!T_0))</f>
        <v>0.18647543402094358</v>
      </c>
      <c r="BX92" s="175">
        <f>UseUserCal*X92*Calibration!AM92*nSD</f>
        <v>0</v>
      </c>
      <c r="BY92" s="86">
        <f>10*LOG10(($O92+NseMeas!T_0+BX92)/($O92+NseMeas!T_0))</f>
        <v>0</v>
      </c>
      <c r="BZ92" s="168">
        <f>UseUserCal*X92*Calibration!AP92*nSD</f>
        <v>0.45096991767149286</v>
      </c>
      <c r="CA92" s="86">
        <f>10*LOG10(($O92+NseMeas!T_0+BZ92)/($O92+NseMeas!T_0))</f>
        <v>2.6878157133072068E-3</v>
      </c>
      <c r="CB92" s="4">
        <f t="shared" si="135"/>
        <v>31.962127505434633</v>
      </c>
      <c r="CC92" s="86">
        <f>10*LOG10(($O92+NseMeas!T_0+CB92)/($O92+NseMeas!T_0))</f>
        <v>0.18649360544435875</v>
      </c>
    </row>
    <row r="93" spans="1:81">
      <c r="A93" s="4">
        <f t="shared" si="136"/>
        <v>26.500001000000001</v>
      </c>
      <c r="B93" s="164">
        <f>T_0*(1+10^('Meas. Noise Std'!AA94/10))</f>
        <v>1207.0605214488303</v>
      </c>
      <c r="C93" s="164">
        <f t="shared" si="93"/>
        <v>298</v>
      </c>
      <c r="D93" s="86">
        <f t="shared" si="94"/>
        <v>298</v>
      </c>
      <c r="E93" s="164">
        <f>IF(UsePreamp,T_0*(10^(Preamp!AE94/10)-1),0)</f>
        <v>627.06052144883006</v>
      </c>
      <c r="F93" s="164">
        <f>T_0*(10^((FieldFox!B93-kT0dB)/10)-1)</f>
        <v>45411.676407373438</v>
      </c>
      <c r="G93" s="86">
        <f>IF(UsePreamp,10^(Preamp!AD94/10),1)</f>
        <v>199.06734581632566</v>
      </c>
      <c r="H93" s="86">
        <f>T_0*(10^(DUT!AE94/10)-1)</f>
        <v>438.4470651377784</v>
      </c>
      <c r="I93" s="86">
        <f>10^(DUT!AD94/10)</f>
        <v>100</v>
      </c>
      <c r="J93" s="87">
        <f t="shared" si="95"/>
        <v>1.622883020530872E-6</v>
      </c>
      <c r="K93" s="87">
        <f t="shared" si="96"/>
        <v>7.3095684618375027E-7</v>
      </c>
      <c r="L93" s="87">
        <f t="shared" si="97"/>
        <v>2.2529120191543056E-9</v>
      </c>
      <c r="M93" s="87">
        <f>IF(UseUserCal,Calibration!M93,0)</f>
        <v>6.1524142648784919E-9</v>
      </c>
      <c r="N93" s="87">
        <f>IF(UseUserCal,Calibration!L93,1)</f>
        <v>199.06734581632574</v>
      </c>
      <c r="O93" s="165">
        <f t="shared" si="98"/>
        <v>438.44706513777868</v>
      </c>
      <c r="P93" s="86">
        <f t="shared" si="99"/>
        <v>99.999999999999943</v>
      </c>
      <c r="Q93" s="170">
        <f t="shared" si="100"/>
        <v>1.1843093476168496E-6</v>
      </c>
      <c r="R93" s="87">
        <f t="shared" si="101"/>
        <v>4.3018303428114972E-7</v>
      </c>
      <c r="S93" s="87">
        <f t="shared" si="102"/>
        <v>1844875354.154526</v>
      </c>
      <c r="T93" s="87">
        <f t="shared" si="103"/>
        <v>825664854.90636683</v>
      </c>
      <c r="U93" s="87">
        <f t="shared" si="104"/>
        <v>0.81010238367386822</v>
      </c>
      <c r="V93" s="87">
        <f t="shared" si="105"/>
        <v>-1.8101023836738681</v>
      </c>
      <c r="W93" s="87">
        <f t="shared" si="106"/>
        <v>5.023425594485369E-5</v>
      </c>
      <c r="X93" s="87">
        <f t="shared" si="107"/>
        <v>1019210499.2481589</v>
      </c>
      <c r="Y93" s="86">
        <f>FieldFox!AG93</f>
        <v>0.1</v>
      </c>
      <c r="Z93" s="86">
        <f>FieldFox!AF93</f>
        <v>0.1</v>
      </c>
      <c r="AA93" s="86">
        <f>FieldFox!AH93</f>
        <v>0.1</v>
      </c>
      <c r="AB93" s="87">
        <f t="shared" si="108"/>
        <v>1.3389238540091567E-3</v>
      </c>
      <c r="AC93" s="87">
        <f t="shared" si="109"/>
        <v>1.3389238540091567E-3</v>
      </c>
      <c r="AD93" s="87">
        <f t="shared" si="110"/>
        <v>1.3389238540091567E-3</v>
      </c>
      <c r="AE93" s="87">
        <f>DUT!AF94</f>
        <v>0.2</v>
      </c>
      <c r="AF93" s="4">
        <f t="shared" si="111"/>
        <v>0.40853898265363492</v>
      </c>
      <c r="AG93" s="4">
        <f>'Meas. Noise Std'!AC94</f>
        <v>0.1</v>
      </c>
      <c r="AH93" s="4">
        <f>'Meas. Noise Std'!AD94</f>
        <v>1</v>
      </c>
      <c r="AI93" s="4">
        <f>DUT!AH94</f>
        <v>0</v>
      </c>
      <c r="AJ93" s="166">
        <f t="shared" si="112"/>
        <v>1.6341559306145403E-2</v>
      </c>
      <c r="AK93" s="166">
        <f t="shared" si="113"/>
        <v>0</v>
      </c>
      <c r="AL93" s="163">
        <f t="shared" si="137"/>
        <v>1.6341559306145403E-2</v>
      </c>
      <c r="AM93" s="4">
        <f t="shared" si="114"/>
        <v>0</v>
      </c>
      <c r="AN93" s="4">
        <f>DUT!AG94</f>
        <v>0.31622776601683794</v>
      </c>
      <c r="AO93" s="4">
        <f>IF(AND(UsePreamp,UseUserCal),Preamp!AF94,0)</f>
        <v>0.3981071705534972</v>
      </c>
      <c r="AP93" s="4">
        <f t="shared" si="115"/>
        <v>0.40853898265363492</v>
      </c>
      <c r="AQ93" s="88">
        <f t="shared" si="116"/>
        <v>1.8055713134491684</v>
      </c>
      <c r="AR93" s="88">
        <f t="shared" si="117"/>
        <v>0</v>
      </c>
      <c r="AS93" s="88">
        <f t="shared" si="138"/>
        <v>1.8055713134491684</v>
      </c>
      <c r="AT93" s="88">
        <f t="shared" si="118"/>
        <v>1.794101024863485</v>
      </c>
      <c r="AU93" s="88">
        <f t="shared" si="119"/>
        <v>15.979472932539238</v>
      </c>
      <c r="AV93" s="88">
        <f t="shared" si="139"/>
        <v>16.079874181384952</v>
      </c>
      <c r="AW93" s="88">
        <f>X93*Calibration!AT93*UseUserCal</f>
        <v>0.22843099786841564</v>
      </c>
      <c r="AX93" s="88">
        <f t="shared" si="120"/>
        <v>3.0744256849308269E-3</v>
      </c>
      <c r="AY93" s="167">
        <f t="shared" si="140"/>
        <v>0.22845168609675937</v>
      </c>
      <c r="AZ93" s="88">
        <f>U93*B93*(10^('Meas. Noise Std'!AB94/(ENRconf*10))-1)</f>
        <v>11.322883725670046</v>
      </c>
      <c r="BA93" s="88">
        <f t="shared" si="121"/>
        <v>0</v>
      </c>
      <c r="BB93" s="88">
        <f t="shared" si="122"/>
        <v>0</v>
      </c>
      <c r="BC93" s="88">
        <f t="shared" si="141"/>
        <v>0</v>
      </c>
      <c r="BD93" s="88">
        <f t="shared" si="123"/>
        <v>19.750501955521155</v>
      </c>
      <c r="BE93" s="4">
        <f t="shared" si="124"/>
        <v>39.501003911042311</v>
      </c>
      <c r="BF93" s="4">
        <f t="shared" si="125"/>
        <v>0.22933854830366102</v>
      </c>
      <c r="BG93" s="88">
        <f t="shared" si="126"/>
        <v>477.94806904882097</v>
      </c>
      <c r="BH93" s="88">
        <f t="shared" si="127"/>
        <v>398.94606122673639</v>
      </c>
      <c r="BI93" s="86">
        <f t="shared" si="128"/>
        <v>5.0907349989800315</v>
      </c>
      <c r="BJ93" s="86">
        <f>10*LOG10(($O93+NseMeas!T_0+BI93)/($O93+NseMeas!T_0))</f>
        <v>3.0245006045761878E-2</v>
      </c>
      <c r="BK93" s="86">
        <f t="shared" si="129"/>
        <v>31.958945865078476</v>
      </c>
      <c r="BL93" s="86">
        <f>10*LOG10(($O93+NseMeas!T_0+BK93)/($O93+NseMeas!T_0))</f>
        <v>0.18647543402094358</v>
      </c>
      <c r="BM93" s="86">
        <f t="shared" si="130"/>
        <v>22.645767451340092</v>
      </c>
      <c r="BN93" s="86">
        <f>10*LOG10(($O93+NseMeas!T_0+BM93)/($O93+NseMeas!T_0))</f>
        <v>0.13295619783758311</v>
      </c>
      <c r="BO93" s="86">
        <f t="shared" si="131"/>
        <v>0.45686199573683128</v>
      </c>
      <c r="BP93" s="86">
        <f>10*LOG10(($O93+NseMeas!T_0+BO93)/($O93+NseMeas!T_0))</f>
        <v>2.7229219493682755E-3</v>
      </c>
      <c r="BQ93" s="86">
        <f t="shared" si="132"/>
        <v>0</v>
      </c>
      <c r="BR93" s="86">
        <f>10*LOG10(($O93+NseMeas!T_0+BQ93)/($O93+NseMeas!T_0))</f>
        <v>0</v>
      </c>
      <c r="BT93" s="86">
        <f t="shared" si="133"/>
        <v>0</v>
      </c>
      <c r="BU93" s="86">
        <f>10*LOG10(($O93+NseMeas!T_0+BT93)/($O93+NseMeas!T_0))</f>
        <v>0</v>
      </c>
      <c r="BV93" s="86">
        <f t="shared" si="134"/>
        <v>31.958945865078476</v>
      </c>
      <c r="BW93" s="86">
        <f>10*LOG10(($O93+NseMeas!T_0+BV93)/($O93+NseMeas!T_0))</f>
        <v>0.18647543402094358</v>
      </c>
      <c r="BX93" s="175">
        <f>UseUserCal*X93*Calibration!AM93*nSD</f>
        <v>0</v>
      </c>
      <c r="BY93" s="86">
        <f>10*LOG10(($O93+NseMeas!T_0+BX93)/($O93+NseMeas!T_0))</f>
        <v>0</v>
      </c>
      <c r="BZ93" s="168">
        <f>UseUserCal*X93*Calibration!AP93*nSD</f>
        <v>0.45096991767149286</v>
      </c>
      <c r="CA93" s="86">
        <f>10*LOG10(($O93+NseMeas!T_0+BZ93)/($O93+NseMeas!T_0))</f>
        <v>2.6878157133072068E-3</v>
      </c>
      <c r="CB93" s="4">
        <f t="shared" si="135"/>
        <v>31.962127505434633</v>
      </c>
      <c r="CC93" s="86">
        <f>10*LOG10(($O93+NseMeas!T_0+CB93)/($O93+NseMeas!T_0))</f>
        <v>0.18649360544435875</v>
      </c>
    </row>
    <row r="94" spans="1:81">
      <c r="A94" s="4">
        <f t="shared" si="136"/>
        <v>26.500001000000001</v>
      </c>
      <c r="B94" s="164">
        <f>T_0*(1+10^('Meas. Noise Std'!AA95/10))</f>
        <v>1207.0605214488303</v>
      </c>
      <c r="C94" s="164">
        <f t="shared" si="93"/>
        <v>298</v>
      </c>
      <c r="D94" s="86">
        <f t="shared" si="94"/>
        <v>298</v>
      </c>
      <c r="E94" s="164">
        <f>IF(UsePreamp,T_0*(10^(Preamp!AE95/10)-1),0)</f>
        <v>627.06052144883006</v>
      </c>
      <c r="F94" s="164">
        <f>T_0*(10^((FieldFox!B94-kT0dB)/10)-1)</f>
        <v>45411.676407373438</v>
      </c>
      <c r="G94" s="86">
        <f>IF(UsePreamp,10^(Preamp!AD95/10),1)</f>
        <v>199.06734581632566</v>
      </c>
      <c r="H94" s="86">
        <f>T_0*(10^(DUT!AE95/10)-1)</f>
        <v>438.4470651377784</v>
      </c>
      <c r="I94" s="86">
        <f>10^(DUT!AD95/10)</f>
        <v>100</v>
      </c>
      <c r="J94" s="87">
        <f t="shared" si="95"/>
        <v>1.622883020530872E-6</v>
      </c>
      <c r="K94" s="87">
        <f t="shared" si="96"/>
        <v>7.3095684618375027E-7</v>
      </c>
      <c r="L94" s="87">
        <f t="shared" si="97"/>
        <v>2.2529120191543056E-9</v>
      </c>
      <c r="M94" s="87">
        <f>IF(UseUserCal,Calibration!M94,0)</f>
        <v>6.1524142648784919E-9</v>
      </c>
      <c r="N94" s="87">
        <f>IF(UseUserCal,Calibration!L94,1)</f>
        <v>199.06734581632574</v>
      </c>
      <c r="O94" s="165">
        <f t="shared" si="98"/>
        <v>438.44706513777868</v>
      </c>
      <c r="P94" s="86">
        <f t="shared" si="99"/>
        <v>99.999999999999943</v>
      </c>
      <c r="Q94" s="170">
        <f t="shared" si="100"/>
        <v>1.1843093476168496E-6</v>
      </c>
      <c r="R94" s="87">
        <f t="shared" si="101"/>
        <v>4.3018303428114972E-7</v>
      </c>
      <c r="S94" s="87">
        <f t="shared" si="102"/>
        <v>1844875354.154526</v>
      </c>
      <c r="T94" s="87">
        <f t="shared" si="103"/>
        <v>825664854.90636683</v>
      </c>
      <c r="U94" s="87">
        <f t="shared" si="104"/>
        <v>0.81010238367386822</v>
      </c>
      <c r="V94" s="87">
        <f t="shared" si="105"/>
        <v>-1.8101023836738681</v>
      </c>
      <c r="W94" s="87">
        <f t="shared" si="106"/>
        <v>5.023425594485369E-5</v>
      </c>
      <c r="X94" s="87">
        <f t="shared" si="107"/>
        <v>1019210499.2481589</v>
      </c>
      <c r="Y94" s="86">
        <f>FieldFox!AG94</f>
        <v>0.1</v>
      </c>
      <c r="Z94" s="86">
        <f>FieldFox!AF94</f>
        <v>0.1</v>
      </c>
      <c r="AA94" s="86">
        <f>FieldFox!AH94</f>
        <v>0.1</v>
      </c>
      <c r="AB94" s="87">
        <f t="shared" si="108"/>
        <v>1.3389238540091567E-3</v>
      </c>
      <c r="AC94" s="87">
        <f t="shared" si="109"/>
        <v>1.3389238540091567E-3</v>
      </c>
      <c r="AD94" s="87">
        <f t="shared" si="110"/>
        <v>1.3389238540091567E-3</v>
      </c>
      <c r="AE94" s="87">
        <f>DUT!AF95</f>
        <v>0.2</v>
      </c>
      <c r="AF94" s="4">
        <f t="shared" si="111"/>
        <v>0.40853898265363492</v>
      </c>
      <c r="AG94" s="4">
        <f>'Meas. Noise Std'!AC95</f>
        <v>0.1</v>
      </c>
      <c r="AH94" s="4">
        <f>'Meas. Noise Std'!AD95</f>
        <v>1</v>
      </c>
      <c r="AI94" s="4">
        <f>DUT!AH95</f>
        <v>0</v>
      </c>
      <c r="AJ94" s="166">
        <f t="shared" si="112"/>
        <v>1.6341559306145403E-2</v>
      </c>
      <c r="AK94" s="166">
        <f t="shared" si="113"/>
        <v>0</v>
      </c>
      <c r="AL94" s="163">
        <f t="shared" si="137"/>
        <v>1.6341559306145403E-2</v>
      </c>
      <c r="AM94" s="4">
        <f t="shared" si="114"/>
        <v>0</v>
      </c>
      <c r="AN94" s="4">
        <f>DUT!AG95</f>
        <v>0.31622776601683794</v>
      </c>
      <c r="AO94" s="4">
        <f>IF(AND(UsePreamp,UseUserCal),Preamp!AF95,0)</f>
        <v>0.3981071705534972</v>
      </c>
      <c r="AP94" s="4">
        <f t="shared" si="115"/>
        <v>0.40853898265363492</v>
      </c>
      <c r="AQ94" s="88">
        <f t="shared" si="116"/>
        <v>1.8055713134491684</v>
      </c>
      <c r="AR94" s="88">
        <f t="shared" si="117"/>
        <v>0</v>
      </c>
      <c r="AS94" s="88">
        <f t="shared" si="138"/>
        <v>1.8055713134491684</v>
      </c>
      <c r="AT94" s="88">
        <f t="shared" si="118"/>
        <v>1.794101024863485</v>
      </c>
      <c r="AU94" s="88">
        <f t="shared" si="119"/>
        <v>15.979472932539238</v>
      </c>
      <c r="AV94" s="88">
        <f t="shared" si="139"/>
        <v>16.079874181384952</v>
      </c>
      <c r="AW94" s="88">
        <f>X94*Calibration!AT94*UseUserCal</f>
        <v>0.22843099786841564</v>
      </c>
      <c r="AX94" s="88">
        <f t="shared" si="120"/>
        <v>3.0744256849308269E-3</v>
      </c>
      <c r="AY94" s="167">
        <f t="shared" si="140"/>
        <v>0.22845168609675937</v>
      </c>
      <c r="AZ94" s="88">
        <f>U94*B94*(10^('Meas. Noise Std'!AB95/(ENRconf*10))-1)</f>
        <v>11.322883725670046</v>
      </c>
      <c r="BA94" s="88">
        <f t="shared" si="121"/>
        <v>0</v>
      </c>
      <c r="BB94" s="88">
        <f t="shared" si="122"/>
        <v>0</v>
      </c>
      <c r="BC94" s="88">
        <f t="shared" si="141"/>
        <v>0</v>
      </c>
      <c r="BD94" s="88">
        <f t="shared" si="123"/>
        <v>19.750501955521155</v>
      </c>
      <c r="BE94" s="4">
        <f t="shared" si="124"/>
        <v>39.501003911042311</v>
      </c>
      <c r="BF94" s="4">
        <f t="shared" si="125"/>
        <v>0.22933854830366102</v>
      </c>
      <c r="BG94" s="88">
        <f t="shared" si="126"/>
        <v>477.94806904882097</v>
      </c>
      <c r="BH94" s="88">
        <f t="shared" si="127"/>
        <v>398.94606122673639</v>
      </c>
      <c r="BI94" s="86">
        <f t="shared" si="128"/>
        <v>5.0907349989800315</v>
      </c>
      <c r="BJ94" s="86">
        <f>10*LOG10(($O94+NseMeas!T_0+BI94)/($O94+NseMeas!T_0))</f>
        <v>3.0245006045761878E-2</v>
      </c>
      <c r="BK94" s="86">
        <f t="shared" si="129"/>
        <v>31.958945865078476</v>
      </c>
      <c r="BL94" s="86">
        <f>10*LOG10(($O94+NseMeas!T_0+BK94)/($O94+NseMeas!T_0))</f>
        <v>0.18647543402094358</v>
      </c>
      <c r="BM94" s="86">
        <f t="shared" si="130"/>
        <v>22.645767451340092</v>
      </c>
      <c r="BN94" s="86">
        <f>10*LOG10(($O94+NseMeas!T_0+BM94)/($O94+NseMeas!T_0))</f>
        <v>0.13295619783758311</v>
      </c>
      <c r="BO94" s="86">
        <f t="shared" si="131"/>
        <v>0.45686199573683128</v>
      </c>
      <c r="BP94" s="86">
        <f>10*LOG10(($O94+NseMeas!T_0+BO94)/($O94+NseMeas!T_0))</f>
        <v>2.7229219493682755E-3</v>
      </c>
      <c r="BQ94" s="86">
        <f t="shared" si="132"/>
        <v>0</v>
      </c>
      <c r="BR94" s="86">
        <f>10*LOG10(($O94+NseMeas!T_0+BQ94)/($O94+NseMeas!T_0))</f>
        <v>0</v>
      </c>
      <c r="BT94" s="86">
        <f t="shared" si="133"/>
        <v>0</v>
      </c>
      <c r="BU94" s="86">
        <f>10*LOG10(($O94+NseMeas!T_0+BT94)/($O94+NseMeas!T_0))</f>
        <v>0</v>
      </c>
      <c r="BV94" s="86">
        <f t="shared" si="134"/>
        <v>31.958945865078476</v>
      </c>
      <c r="BW94" s="86">
        <f>10*LOG10(($O94+NseMeas!T_0+BV94)/($O94+NseMeas!T_0))</f>
        <v>0.18647543402094358</v>
      </c>
      <c r="BX94" s="175">
        <f>UseUserCal*X94*Calibration!AM94*nSD</f>
        <v>0</v>
      </c>
      <c r="BY94" s="86">
        <f>10*LOG10(($O94+NseMeas!T_0+BX94)/($O94+NseMeas!T_0))</f>
        <v>0</v>
      </c>
      <c r="BZ94" s="168">
        <f>UseUserCal*X94*Calibration!AP94*nSD</f>
        <v>0.45096991767149286</v>
      </c>
      <c r="CA94" s="86">
        <f>10*LOG10(($O94+NseMeas!T_0+BZ94)/($O94+NseMeas!T_0))</f>
        <v>2.6878157133072068E-3</v>
      </c>
      <c r="CB94" s="4">
        <f t="shared" si="135"/>
        <v>31.962127505434633</v>
      </c>
      <c r="CC94" s="86">
        <f>10*LOG10(($O94+NseMeas!T_0+CB94)/($O94+NseMeas!T_0))</f>
        <v>0.18649360544435875</v>
      </c>
    </row>
    <row r="95" spans="1:81">
      <c r="A95" s="4">
        <f t="shared" si="136"/>
        <v>26.500001000000001</v>
      </c>
      <c r="B95" s="164">
        <f>T_0*(1+10^('Meas. Noise Std'!AA96/10))</f>
        <v>1207.0605214488303</v>
      </c>
      <c r="C95" s="164">
        <f t="shared" si="93"/>
        <v>298</v>
      </c>
      <c r="D95" s="86">
        <f t="shared" si="94"/>
        <v>298</v>
      </c>
      <c r="E95" s="164">
        <f>IF(UsePreamp,T_0*(10^(Preamp!AE96/10)-1),0)</f>
        <v>627.06052144883006</v>
      </c>
      <c r="F95" s="164">
        <f>T_0*(10^((FieldFox!B95-kT0dB)/10)-1)</f>
        <v>45411.676407373438</v>
      </c>
      <c r="G95" s="86">
        <f>IF(UsePreamp,10^(Preamp!AD96/10),1)</f>
        <v>199.06734581632566</v>
      </c>
      <c r="H95" s="86">
        <f>T_0*(10^(DUT!AE96/10)-1)</f>
        <v>438.4470651377784</v>
      </c>
      <c r="I95" s="86">
        <f>10^(DUT!AD96/10)</f>
        <v>100</v>
      </c>
      <c r="J95" s="87">
        <f t="shared" si="95"/>
        <v>1.622883020530872E-6</v>
      </c>
      <c r="K95" s="87">
        <f t="shared" si="96"/>
        <v>7.3095684618375027E-7</v>
      </c>
      <c r="L95" s="87">
        <f t="shared" si="97"/>
        <v>2.2529120191543056E-9</v>
      </c>
      <c r="M95" s="87">
        <f>IF(UseUserCal,Calibration!M95,0)</f>
        <v>6.1524142648784919E-9</v>
      </c>
      <c r="N95" s="87">
        <f>IF(UseUserCal,Calibration!L95,1)</f>
        <v>199.06734581632574</v>
      </c>
      <c r="O95" s="165">
        <f t="shared" si="98"/>
        <v>438.44706513777868</v>
      </c>
      <c r="P95" s="86">
        <f t="shared" si="99"/>
        <v>99.999999999999943</v>
      </c>
      <c r="Q95" s="170">
        <f t="shared" si="100"/>
        <v>1.1843093476168496E-6</v>
      </c>
      <c r="R95" s="87">
        <f t="shared" si="101"/>
        <v>4.3018303428114972E-7</v>
      </c>
      <c r="S95" s="87">
        <f t="shared" si="102"/>
        <v>1844875354.154526</v>
      </c>
      <c r="T95" s="87">
        <f t="shared" si="103"/>
        <v>825664854.90636683</v>
      </c>
      <c r="U95" s="87">
        <f t="shared" si="104"/>
        <v>0.81010238367386822</v>
      </c>
      <c r="V95" s="87">
        <f t="shared" si="105"/>
        <v>-1.8101023836738681</v>
      </c>
      <c r="W95" s="87">
        <f t="shared" si="106"/>
        <v>5.023425594485369E-5</v>
      </c>
      <c r="X95" s="87">
        <f t="shared" si="107"/>
        <v>1019210499.2481589</v>
      </c>
      <c r="Y95" s="86">
        <f>FieldFox!AG95</f>
        <v>0.1</v>
      </c>
      <c r="Z95" s="86">
        <f>FieldFox!AF95</f>
        <v>0.1</v>
      </c>
      <c r="AA95" s="86">
        <f>FieldFox!AH95</f>
        <v>0.1</v>
      </c>
      <c r="AB95" s="87">
        <f t="shared" si="108"/>
        <v>1.3389238540091567E-3</v>
      </c>
      <c r="AC95" s="87">
        <f t="shared" si="109"/>
        <v>1.3389238540091567E-3</v>
      </c>
      <c r="AD95" s="87">
        <f t="shared" si="110"/>
        <v>1.3389238540091567E-3</v>
      </c>
      <c r="AE95" s="87">
        <f>DUT!AF96</f>
        <v>0.2</v>
      </c>
      <c r="AF95" s="4">
        <f t="shared" si="111"/>
        <v>0.40853898265363492</v>
      </c>
      <c r="AG95" s="4">
        <f>'Meas. Noise Std'!AC96</f>
        <v>0.1</v>
      </c>
      <c r="AH95" s="4">
        <f>'Meas. Noise Std'!AD96</f>
        <v>1</v>
      </c>
      <c r="AI95" s="4">
        <f>DUT!AH96</f>
        <v>0</v>
      </c>
      <c r="AJ95" s="166">
        <f t="shared" si="112"/>
        <v>1.6341559306145403E-2</v>
      </c>
      <c r="AK95" s="166">
        <f t="shared" si="113"/>
        <v>0</v>
      </c>
      <c r="AL95" s="163">
        <f t="shared" si="137"/>
        <v>1.6341559306145403E-2</v>
      </c>
      <c r="AM95" s="4">
        <f t="shared" si="114"/>
        <v>0</v>
      </c>
      <c r="AN95" s="4">
        <f>DUT!AG96</f>
        <v>0.31622776601683794</v>
      </c>
      <c r="AO95" s="4">
        <f>IF(AND(UsePreamp,UseUserCal),Preamp!AF96,0)</f>
        <v>0.3981071705534972</v>
      </c>
      <c r="AP95" s="4">
        <f t="shared" si="115"/>
        <v>0.40853898265363492</v>
      </c>
      <c r="AQ95" s="88">
        <f t="shared" si="116"/>
        <v>1.8055713134491684</v>
      </c>
      <c r="AR95" s="88">
        <f t="shared" si="117"/>
        <v>0</v>
      </c>
      <c r="AS95" s="88">
        <f t="shared" si="138"/>
        <v>1.8055713134491684</v>
      </c>
      <c r="AT95" s="88">
        <f t="shared" si="118"/>
        <v>1.794101024863485</v>
      </c>
      <c r="AU95" s="88">
        <f t="shared" si="119"/>
        <v>15.979472932539238</v>
      </c>
      <c r="AV95" s="88">
        <f t="shared" si="139"/>
        <v>16.079874181384952</v>
      </c>
      <c r="AW95" s="88">
        <f>X95*Calibration!AT95*UseUserCal</f>
        <v>0.22843099786841564</v>
      </c>
      <c r="AX95" s="88">
        <f t="shared" si="120"/>
        <v>3.0744256849308269E-3</v>
      </c>
      <c r="AY95" s="167">
        <f t="shared" si="140"/>
        <v>0.22845168609675937</v>
      </c>
      <c r="AZ95" s="88">
        <f>U95*B95*(10^('Meas. Noise Std'!AB96/(ENRconf*10))-1)</f>
        <v>11.322883725670046</v>
      </c>
      <c r="BA95" s="88">
        <f t="shared" si="121"/>
        <v>0</v>
      </c>
      <c r="BB95" s="88">
        <f t="shared" si="122"/>
        <v>0</v>
      </c>
      <c r="BC95" s="88">
        <f t="shared" si="141"/>
        <v>0</v>
      </c>
      <c r="BD95" s="88">
        <f t="shared" si="123"/>
        <v>19.750501955521155</v>
      </c>
      <c r="BE95" s="4">
        <f t="shared" si="124"/>
        <v>39.501003911042311</v>
      </c>
      <c r="BF95" s="4">
        <f t="shared" si="125"/>
        <v>0.22933854830366102</v>
      </c>
      <c r="BG95" s="88">
        <f t="shared" si="126"/>
        <v>477.94806904882097</v>
      </c>
      <c r="BH95" s="88">
        <f t="shared" si="127"/>
        <v>398.94606122673639</v>
      </c>
      <c r="BI95" s="86">
        <f t="shared" si="128"/>
        <v>5.0907349989800315</v>
      </c>
      <c r="BJ95" s="86">
        <f>10*LOG10(($O95+NseMeas!T_0+BI95)/($O95+NseMeas!T_0))</f>
        <v>3.0245006045761878E-2</v>
      </c>
      <c r="BK95" s="86">
        <f t="shared" si="129"/>
        <v>31.958945865078476</v>
      </c>
      <c r="BL95" s="86">
        <f>10*LOG10(($O95+NseMeas!T_0+BK95)/($O95+NseMeas!T_0))</f>
        <v>0.18647543402094358</v>
      </c>
      <c r="BM95" s="86">
        <f t="shared" si="130"/>
        <v>22.645767451340092</v>
      </c>
      <c r="BN95" s="86">
        <f>10*LOG10(($O95+NseMeas!T_0+BM95)/($O95+NseMeas!T_0))</f>
        <v>0.13295619783758311</v>
      </c>
      <c r="BO95" s="86">
        <f t="shared" si="131"/>
        <v>0.45686199573683128</v>
      </c>
      <c r="BP95" s="86">
        <f>10*LOG10(($O95+NseMeas!T_0+BO95)/($O95+NseMeas!T_0))</f>
        <v>2.7229219493682755E-3</v>
      </c>
      <c r="BQ95" s="86">
        <f t="shared" si="132"/>
        <v>0</v>
      </c>
      <c r="BR95" s="86">
        <f>10*LOG10(($O95+NseMeas!T_0+BQ95)/($O95+NseMeas!T_0))</f>
        <v>0</v>
      </c>
      <c r="BT95" s="86">
        <f t="shared" si="133"/>
        <v>0</v>
      </c>
      <c r="BU95" s="86">
        <f>10*LOG10(($O95+NseMeas!T_0+BT95)/($O95+NseMeas!T_0))</f>
        <v>0</v>
      </c>
      <c r="BV95" s="86">
        <f t="shared" si="134"/>
        <v>31.958945865078476</v>
      </c>
      <c r="BW95" s="86">
        <f>10*LOG10(($O95+NseMeas!T_0+BV95)/($O95+NseMeas!T_0))</f>
        <v>0.18647543402094358</v>
      </c>
      <c r="BX95" s="175">
        <f>UseUserCal*X95*Calibration!AM95*nSD</f>
        <v>0</v>
      </c>
      <c r="BY95" s="86">
        <f>10*LOG10(($O95+NseMeas!T_0+BX95)/($O95+NseMeas!T_0))</f>
        <v>0</v>
      </c>
      <c r="BZ95" s="168">
        <f>UseUserCal*X95*Calibration!AP95*nSD</f>
        <v>0.45096991767149286</v>
      </c>
      <c r="CA95" s="86">
        <f>10*LOG10(($O95+NseMeas!T_0+BZ95)/($O95+NseMeas!T_0))</f>
        <v>2.6878157133072068E-3</v>
      </c>
      <c r="CB95" s="4">
        <f t="shared" si="135"/>
        <v>31.962127505434633</v>
      </c>
      <c r="CC95" s="86">
        <f>10*LOG10(($O95+NseMeas!T_0+CB95)/($O95+NseMeas!T_0))</f>
        <v>0.18649360544435875</v>
      </c>
    </row>
    <row r="96" spans="1:81">
      <c r="A96" s="4">
        <f t="shared" si="136"/>
        <v>26.500001000000001</v>
      </c>
      <c r="B96" s="164">
        <f>T_0*(1+10^('Meas. Noise Std'!AA97/10))</f>
        <v>1207.0605214488303</v>
      </c>
      <c r="C96" s="164">
        <f t="shared" si="93"/>
        <v>298</v>
      </c>
      <c r="D96" s="86">
        <f t="shared" si="94"/>
        <v>298</v>
      </c>
      <c r="E96" s="164">
        <f>IF(UsePreamp,T_0*(10^(Preamp!AE97/10)-1),0)</f>
        <v>627.06052144883006</v>
      </c>
      <c r="F96" s="164">
        <f>T_0*(10^((FieldFox!B96-kT0dB)/10)-1)</f>
        <v>45411.676407373438</v>
      </c>
      <c r="G96" s="86">
        <f>IF(UsePreamp,10^(Preamp!AD97/10),1)</f>
        <v>199.06734581632566</v>
      </c>
      <c r="H96" s="86">
        <f>T_0*(10^(DUT!AE97/10)-1)</f>
        <v>438.4470651377784</v>
      </c>
      <c r="I96" s="86">
        <f>10^(DUT!AD97/10)</f>
        <v>100</v>
      </c>
      <c r="J96" s="87">
        <f t="shared" si="95"/>
        <v>1.622883020530872E-6</v>
      </c>
      <c r="K96" s="87">
        <f t="shared" si="96"/>
        <v>7.3095684618375027E-7</v>
      </c>
      <c r="L96" s="87">
        <f t="shared" si="97"/>
        <v>2.2529120191543056E-9</v>
      </c>
      <c r="M96" s="87">
        <f>IF(UseUserCal,Calibration!M96,0)</f>
        <v>6.1524142648784919E-9</v>
      </c>
      <c r="N96" s="87">
        <f>IF(UseUserCal,Calibration!L96,1)</f>
        <v>199.06734581632574</v>
      </c>
      <c r="O96" s="165">
        <f t="shared" si="98"/>
        <v>438.44706513777868</v>
      </c>
      <c r="P96" s="86">
        <f t="shared" si="99"/>
        <v>99.999999999999943</v>
      </c>
      <c r="Q96" s="170">
        <f t="shared" si="100"/>
        <v>1.1843093476168496E-6</v>
      </c>
      <c r="R96" s="87">
        <f t="shared" si="101"/>
        <v>4.3018303428114972E-7</v>
      </c>
      <c r="S96" s="87">
        <f t="shared" si="102"/>
        <v>1844875354.154526</v>
      </c>
      <c r="T96" s="87">
        <f t="shared" si="103"/>
        <v>825664854.90636683</v>
      </c>
      <c r="U96" s="87">
        <f t="shared" si="104"/>
        <v>0.81010238367386822</v>
      </c>
      <c r="V96" s="87">
        <f t="shared" si="105"/>
        <v>-1.8101023836738681</v>
      </c>
      <c r="W96" s="87">
        <f t="shared" si="106"/>
        <v>5.023425594485369E-5</v>
      </c>
      <c r="X96" s="87">
        <f t="shared" si="107"/>
        <v>1019210499.2481589</v>
      </c>
      <c r="Y96" s="86">
        <f>FieldFox!AG96</f>
        <v>0.1</v>
      </c>
      <c r="Z96" s="86">
        <f>FieldFox!AF96</f>
        <v>0.1</v>
      </c>
      <c r="AA96" s="86">
        <f>FieldFox!AH96</f>
        <v>0.1</v>
      </c>
      <c r="AB96" s="87">
        <f t="shared" si="108"/>
        <v>1.3389238540091567E-3</v>
      </c>
      <c r="AC96" s="87">
        <f t="shared" si="109"/>
        <v>1.3389238540091567E-3</v>
      </c>
      <c r="AD96" s="87">
        <f t="shared" si="110"/>
        <v>1.3389238540091567E-3</v>
      </c>
      <c r="AE96" s="87">
        <f>DUT!AF97</f>
        <v>0.2</v>
      </c>
      <c r="AF96" s="4">
        <f t="shared" si="111"/>
        <v>0.40853898265363492</v>
      </c>
      <c r="AG96" s="4">
        <f>'Meas. Noise Std'!AC97</f>
        <v>0.1</v>
      </c>
      <c r="AH96" s="4">
        <f>'Meas. Noise Std'!AD97</f>
        <v>1</v>
      </c>
      <c r="AI96" s="4">
        <f>DUT!AH97</f>
        <v>0</v>
      </c>
      <c r="AJ96" s="166">
        <f t="shared" si="112"/>
        <v>1.6341559306145403E-2</v>
      </c>
      <c r="AK96" s="166">
        <f t="shared" si="113"/>
        <v>0</v>
      </c>
      <c r="AL96" s="163">
        <f t="shared" si="137"/>
        <v>1.6341559306145403E-2</v>
      </c>
      <c r="AM96" s="4">
        <f t="shared" si="114"/>
        <v>0</v>
      </c>
      <c r="AN96" s="4">
        <f>DUT!AG97</f>
        <v>0.31622776601683794</v>
      </c>
      <c r="AO96" s="4">
        <f>IF(AND(UsePreamp,UseUserCal),Preamp!AF97,0)</f>
        <v>0.3981071705534972</v>
      </c>
      <c r="AP96" s="4">
        <f t="shared" si="115"/>
        <v>0.40853898265363492</v>
      </c>
      <c r="AQ96" s="88">
        <f t="shared" si="116"/>
        <v>1.8055713134491684</v>
      </c>
      <c r="AR96" s="88">
        <f t="shared" si="117"/>
        <v>0</v>
      </c>
      <c r="AS96" s="88">
        <f t="shared" si="138"/>
        <v>1.8055713134491684</v>
      </c>
      <c r="AT96" s="88">
        <f t="shared" si="118"/>
        <v>1.794101024863485</v>
      </c>
      <c r="AU96" s="88">
        <f t="shared" si="119"/>
        <v>15.979472932539238</v>
      </c>
      <c r="AV96" s="88">
        <f t="shared" si="139"/>
        <v>16.079874181384952</v>
      </c>
      <c r="AW96" s="88">
        <f>X96*Calibration!AT96*UseUserCal</f>
        <v>0.22843099786841564</v>
      </c>
      <c r="AX96" s="88">
        <f t="shared" si="120"/>
        <v>3.0744256849308269E-3</v>
      </c>
      <c r="AY96" s="167">
        <f t="shared" si="140"/>
        <v>0.22845168609675937</v>
      </c>
      <c r="AZ96" s="88">
        <f>U96*B96*(10^('Meas. Noise Std'!AB97/(ENRconf*10))-1)</f>
        <v>11.322883725670046</v>
      </c>
      <c r="BA96" s="88">
        <f t="shared" si="121"/>
        <v>0</v>
      </c>
      <c r="BB96" s="88">
        <f t="shared" si="122"/>
        <v>0</v>
      </c>
      <c r="BC96" s="88">
        <f t="shared" si="141"/>
        <v>0</v>
      </c>
      <c r="BD96" s="88">
        <f t="shared" si="123"/>
        <v>19.750501955521155</v>
      </c>
      <c r="BE96" s="4">
        <f t="shared" si="124"/>
        <v>39.501003911042311</v>
      </c>
      <c r="BF96" s="4">
        <f t="shared" si="125"/>
        <v>0.22933854830366102</v>
      </c>
      <c r="BG96" s="88">
        <f t="shared" si="126"/>
        <v>477.94806904882097</v>
      </c>
      <c r="BH96" s="88">
        <f t="shared" si="127"/>
        <v>398.94606122673639</v>
      </c>
      <c r="BI96" s="86">
        <f t="shared" si="128"/>
        <v>5.0907349989800315</v>
      </c>
      <c r="BJ96" s="86">
        <f>10*LOG10(($O96+NseMeas!T_0+BI96)/($O96+NseMeas!T_0))</f>
        <v>3.0245006045761878E-2</v>
      </c>
      <c r="BK96" s="86">
        <f t="shared" si="129"/>
        <v>31.958945865078476</v>
      </c>
      <c r="BL96" s="86">
        <f>10*LOG10(($O96+NseMeas!T_0+BK96)/($O96+NseMeas!T_0))</f>
        <v>0.18647543402094358</v>
      </c>
      <c r="BM96" s="86">
        <f t="shared" si="130"/>
        <v>22.645767451340092</v>
      </c>
      <c r="BN96" s="86">
        <f>10*LOG10(($O96+NseMeas!T_0+BM96)/($O96+NseMeas!T_0))</f>
        <v>0.13295619783758311</v>
      </c>
      <c r="BO96" s="86">
        <f t="shared" si="131"/>
        <v>0.45686199573683128</v>
      </c>
      <c r="BP96" s="86">
        <f>10*LOG10(($O96+NseMeas!T_0+BO96)/($O96+NseMeas!T_0))</f>
        <v>2.7229219493682755E-3</v>
      </c>
      <c r="BQ96" s="86">
        <f t="shared" si="132"/>
        <v>0</v>
      </c>
      <c r="BR96" s="86">
        <f>10*LOG10(($O96+NseMeas!T_0+BQ96)/($O96+NseMeas!T_0))</f>
        <v>0</v>
      </c>
      <c r="BT96" s="86">
        <f t="shared" si="133"/>
        <v>0</v>
      </c>
      <c r="BU96" s="86">
        <f>10*LOG10(($O96+NseMeas!T_0+BT96)/($O96+NseMeas!T_0))</f>
        <v>0</v>
      </c>
      <c r="BV96" s="86">
        <f t="shared" si="134"/>
        <v>31.958945865078476</v>
      </c>
      <c r="BW96" s="86">
        <f>10*LOG10(($O96+NseMeas!T_0+BV96)/($O96+NseMeas!T_0))</f>
        <v>0.18647543402094358</v>
      </c>
      <c r="BX96" s="175">
        <f>UseUserCal*X96*Calibration!AM96*nSD</f>
        <v>0</v>
      </c>
      <c r="BY96" s="86">
        <f>10*LOG10(($O96+NseMeas!T_0+BX96)/($O96+NseMeas!T_0))</f>
        <v>0</v>
      </c>
      <c r="BZ96" s="168">
        <f>UseUserCal*X96*Calibration!AP96*nSD</f>
        <v>0.45096991767149286</v>
      </c>
      <c r="CA96" s="86">
        <f>10*LOG10(($O96+NseMeas!T_0+BZ96)/($O96+NseMeas!T_0))</f>
        <v>2.6878157133072068E-3</v>
      </c>
      <c r="CB96" s="4">
        <f t="shared" si="135"/>
        <v>31.962127505434633</v>
      </c>
      <c r="CC96" s="86">
        <f>10*LOG10(($O96+NseMeas!T_0+CB96)/($O96+NseMeas!T_0))</f>
        <v>0.18649360544435875</v>
      </c>
    </row>
    <row r="97" spans="1:81">
      <c r="A97" s="4">
        <f t="shared" si="136"/>
        <v>26.500001000000001</v>
      </c>
      <c r="B97" s="164">
        <f>T_0*(1+10^('Meas. Noise Std'!AA98/10))</f>
        <v>1207.0605214488303</v>
      </c>
      <c r="C97" s="164">
        <f t="shared" si="93"/>
        <v>298</v>
      </c>
      <c r="D97" s="86">
        <f t="shared" si="94"/>
        <v>298</v>
      </c>
      <c r="E97" s="164">
        <f>IF(UsePreamp,T_0*(10^(Preamp!AE98/10)-1),0)</f>
        <v>627.06052144883006</v>
      </c>
      <c r="F97" s="164">
        <f>T_0*(10^((FieldFox!B97-kT0dB)/10)-1)</f>
        <v>45411.676407373438</v>
      </c>
      <c r="G97" s="86">
        <f>IF(UsePreamp,10^(Preamp!AD98/10),1)</f>
        <v>199.06734581632566</v>
      </c>
      <c r="H97" s="86">
        <f>T_0*(10^(DUT!AE98/10)-1)</f>
        <v>438.4470651377784</v>
      </c>
      <c r="I97" s="86">
        <f>10^(DUT!AD98/10)</f>
        <v>100</v>
      </c>
      <c r="J97" s="87">
        <f t="shared" si="95"/>
        <v>1.622883020530872E-6</v>
      </c>
      <c r="K97" s="87">
        <f t="shared" si="96"/>
        <v>7.3095684618375027E-7</v>
      </c>
      <c r="L97" s="87">
        <f t="shared" si="97"/>
        <v>2.2529120191543056E-9</v>
      </c>
      <c r="M97" s="87">
        <f>IF(UseUserCal,Calibration!M97,0)</f>
        <v>6.1524142648784919E-9</v>
      </c>
      <c r="N97" s="87">
        <f>IF(UseUserCal,Calibration!L97,1)</f>
        <v>199.06734581632574</v>
      </c>
      <c r="O97" s="165">
        <f t="shared" si="98"/>
        <v>438.44706513777868</v>
      </c>
      <c r="P97" s="86">
        <f t="shared" si="99"/>
        <v>99.999999999999943</v>
      </c>
      <c r="Q97" s="170">
        <f t="shared" si="100"/>
        <v>1.1843093476168496E-6</v>
      </c>
      <c r="R97" s="87">
        <f t="shared" si="101"/>
        <v>4.3018303428114972E-7</v>
      </c>
      <c r="S97" s="87">
        <f t="shared" si="102"/>
        <v>1844875354.154526</v>
      </c>
      <c r="T97" s="87">
        <f t="shared" si="103"/>
        <v>825664854.90636683</v>
      </c>
      <c r="U97" s="87">
        <f t="shared" si="104"/>
        <v>0.81010238367386822</v>
      </c>
      <c r="V97" s="87">
        <f t="shared" si="105"/>
        <v>-1.8101023836738681</v>
      </c>
      <c r="W97" s="87">
        <f t="shared" si="106"/>
        <v>5.023425594485369E-5</v>
      </c>
      <c r="X97" s="87">
        <f t="shared" si="107"/>
        <v>1019210499.2481589</v>
      </c>
      <c r="Y97" s="86">
        <f>FieldFox!AG97</f>
        <v>0.1</v>
      </c>
      <c r="Z97" s="86">
        <f>FieldFox!AF97</f>
        <v>0.1</v>
      </c>
      <c r="AA97" s="86">
        <f>FieldFox!AH97</f>
        <v>0.1</v>
      </c>
      <c r="AB97" s="87">
        <f t="shared" si="108"/>
        <v>1.3389238540091567E-3</v>
      </c>
      <c r="AC97" s="87">
        <f t="shared" si="109"/>
        <v>1.3389238540091567E-3</v>
      </c>
      <c r="AD97" s="87">
        <f t="shared" si="110"/>
        <v>1.3389238540091567E-3</v>
      </c>
      <c r="AE97" s="87">
        <f>DUT!AF98</f>
        <v>0.2</v>
      </c>
      <c r="AF97" s="4">
        <f t="shared" si="111"/>
        <v>0.40853898265363492</v>
      </c>
      <c r="AG97" s="4">
        <f>'Meas. Noise Std'!AC98</f>
        <v>0.1</v>
      </c>
      <c r="AH97" s="4">
        <f>'Meas. Noise Std'!AD98</f>
        <v>1</v>
      </c>
      <c r="AI97" s="4">
        <f>DUT!AH98</f>
        <v>0</v>
      </c>
      <c r="AJ97" s="166">
        <f t="shared" si="112"/>
        <v>1.6341559306145403E-2</v>
      </c>
      <c r="AK97" s="166">
        <f t="shared" si="113"/>
        <v>0</v>
      </c>
      <c r="AL97" s="163">
        <f t="shared" si="137"/>
        <v>1.6341559306145403E-2</v>
      </c>
      <c r="AM97" s="4">
        <f t="shared" si="114"/>
        <v>0</v>
      </c>
      <c r="AN97" s="4">
        <f>DUT!AG98</f>
        <v>0.31622776601683794</v>
      </c>
      <c r="AO97" s="4">
        <f>IF(AND(UsePreamp,UseUserCal),Preamp!AF98,0)</f>
        <v>0.3981071705534972</v>
      </c>
      <c r="AP97" s="4">
        <f t="shared" si="115"/>
        <v>0.40853898265363492</v>
      </c>
      <c r="AQ97" s="88">
        <f t="shared" si="116"/>
        <v>1.8055713134491684</v>
      </c>
      <c r="AR97" s="88">
        <f t="shared" si="117"/>
        <v>0</v>
      </c>
      <c r="AS97" s="88">
        <f t="shared" si="138"/>
        <v>1.8055713134491684</v>
      </c>
      <c r="AT97" s="88">
        <f t="shared" si="118"/>
        <v>1.794101024863485</v>
      </c>
      <c r="AU97" s="88">
        <f t="shared" si="119"/>
        <v>15.979472932539238</v>
      </c>
      <c r="AV97" s="88">
        <f t="shared" si="139"/>
        <v>16.079874181384952</v>
      </c>
      <c r="AW97" s="88">
        <f>X97*Calibration!AT97*UseUserCal</f>
        <v>0.22843099786841564</v>
      </c>
      <c r="AX97" s="88">
        <f t="shared" si="120"/>
        <v>3.0744256849308269E-3</v>
      </c>
      <c r="AY97" s="167">
        <f t="shared" si="140"/>
        <v>0.22845168609675937</v>
      </c>
      <c r="AZ97" s="88">
        <f>U97*B97*(10^('Meas. Noise Std'!AB98/(ENRconf*10))-1)</f>
        <v>11.322883725670046</v>
      </c>
      <c r="BA97" s="88">
        <f t="shared" si="121"/>
        <v>0</v>
      </c>
      <c r="BB97" s="88">
        <f t="shared" si="122"/>
        <v>0</v>
      </c>
      <c r="BC97" s="88">
        <f t="shared" si="141"/>
        <v>0</v>
      </c>
      <c r="BD97" s="88">
        <f t="shared" si="123"/>
        <v>19.750501955521155</v>
      </c>
      <c r="BE97" s="4">
        <f t="shared" si="124"/>
        <v>39.501003911042311</v>
      </c>
      <c r="BF97" s="4">
        <f t="shared" si="125"/>
        <v>0.22933854830366102</v>
      </c>
      <c r="BG97" s="88">
        <f t="shared" si="126"/>
        <v>477.94806904882097</v>
      </c>
      <c r="BH97" s="88">
        <f t="shared" si="127"/>
        <v>398.94606122673639</v>
      </c>
      <c r="BI97" s="86">
        <f t="shared" si="128"/>
        <v>5.0907349989800315</v>
      </c>
      <c r="BJ97" s="86">
        <f>10*LOG10(($O97+NseMeas!T_0+BI97)/($O97+NseMeas!T_0))</f>
        <v>3.0245006045761878E-2</v>
      </c>
      <c r="BK97" s="86">
        <f t="shared" si="129"/>
        <v>31.958945865078476</v>
      </c>
      <c r="BL97" s="86">
        <f>10*LOG10(($O97+NseMeas!T_0+BK97)/($O97+NseMeas!T_0))</f>
        <v>0.18647543402094358</v>
      </c>
      <c r="BM97" s="86">
        <f t="shared" si="130"/>
        <v>22.645767451340092</v>
      </c>
      <c r="BN97" s="86">
        <f>10*LOG10(($O97+NseMeas!T_0+BM97)/($O97+NseMeas!T_0))</f>
        <v>0.13295619783758311</v>
      </c>
      <c r="BO97" s="86">
        <f t="shared" si="131"/>
        <v>0.45686199573683128</v>
      </c>
      <c r="BP97" s="86">
        <f>10*LOG10(($O97+NseMeas!T_0+BO97)/($O97+NseMeas!T_0))</f>
        <v>2.7229219493682755E-3</v>
      </c>
      <c r="BQ97" s="86">
        <f t="shared" si="132"/>
        <v>0</v>
      </c>
      <c r="BR97" s="86">
        <f>10*LOG10(($O97+NseMeas!T_0+BQ97)/($O97+NseMeas!T_0))</f>
        <v>0</v>
      </c>
      <c r="BT97" s="86">
        <f t="shared" si="133"/>
        <v>0</v>
      </c>
      <c r="BU97" s="86">
        <f>10*LOG10(($O97+NseMeas!T_0+BT97)/($O97+NseMeas!T_0))</f>
        <v>0</v>
      </c>
      <c r="BV97" s="86">
        <f t="shared" si="134"/>
        <v>31.958945865078476</v>
      </c>
      <c r="BW97" s="86">
        <f>10*LOG10(($O97+NseMeas!T_0+BV97)/($O97+NseMeas!T_0))</f>
        <v>0.18647543402094358</v>
      </c>
      <c r="BX97" s="175">
        <f>UseUserCal*X97*Calibration!AM97*nSD</f>
        <v>0</v>
      </c>
      <c r="BY97" s="86">
        <f>10*LOG10(($O97+NseMeas!T_0+BX97)/($O97+NseMeas!T_0))</f>
        <v>0</v>
      </c>
      <c r="BZ97" s="168">
        <f>UseUserCal*X97*Calibration!AP97*nSD</f>
        <v>0.45096991767149286</v>
      </c>
      <c r="CA97" s="86">
        <f>10*LOG10(($O97+NseMeas!T_0+BZ97)/($O97+NseMeas!T_0))</f>
        <v>2.6878157133072068E-3</v>
      </c>
      <c r="CB97" s="4">
        <f t="shared" si="135"/>
        <v>31.962127505434633</v>
      </c>
      <c r="CC97" s="86">
        <f>10*LOG10(($O97+NseMeas!T_0+CB97)/($O97+NseMeas!T_0))</f>
        <v>0.18649360544435875</v>
      </c>
    </row>
    <row r="98" spans="1:81">
      <c r="A98" s="4">
        <f t="shared" si="136"/>
        <v>26.500001000000001</v>
      </c>
      <c r="B98" s="164">
        <f>T_0*(1+10^('Meas. Noise Std'!AA99/10))</f>
        <v>1207.0605214488303</v>
      </c>
      <c r="C98" s="164">
        <f t="shared" si="93"/>
        <v>298</v>
      </c>
      <c r="D98" s="86">
        <f t="shared" si="94"/>
        <v>298</v>
      </c>
      <c r="E98" s="164">
        <f>IF(UsePreamp,T_0*(10^(Preamp!AE99/10)-1),0)</f>
        <v>627.06052144883006</v>
      </c>
      <c r="F98" s="164">
        <f>T_0*(10^((FieldFox!B98-kT0dB)/10)-1)</f>
        <v>45411.676407373438</v>
      </c>
      <c r="G98" s="86">
        <f>IF(UsePreamp,10^(Preamp!AD99/10),1)</f>
        <v>199.06734581632566</v>
      </c>
      <c r="H98" s="86">
        <f>T_0*(10^(DUT!AE99/10)-1)</f>
        <v>438.4470651377784</v>
      </c>
      <c r="I98" s="86">
        <f>10^(DUT!AD99/10)</f>
        <v>100</v>
      </c>
      <c r="J98" s="87">
        <f t="shared" si="95"/>
        <v>1.622883020530872E-6</v>
      </c>
      <c r="K98" s="87">
        <f t="shared" si="96"/>
        <v>7.3095684618375027E-7</v>
      </c>
      <c r="L98" s="87">
        <f t="shared" si="97"/>
        <v>2.2529120191543056E-9</v>
      </c>
      <c r="M98" s="87">
        <f>IF(UseUserCal,Calibration!M98,0)</f>
        <v>6.1524142648784919E-9</v>
      </c>
      <c r="N98" s="87">
        <f>IF(UseUserCal,Calibration!L98,1)</f>
        <v>199.06734581632574</v>
      </c>
      <c r="O98" s="165">
        <f t="shared" si="98"/>
        <v>438.44706513777868</v>
      </c>
      <c r="P98" s="86">
        <f t="shared" si="99"/>
        <v>99.999999999999943</v>
      </c>
      <c r="Q98" s="170">
        <f t="shared" si="100"/>
        <v>1.1843093476168496E-6</v>
      </c>
      <c r="R98" s="87">
        <f t="shared" si="101"/>
        <v>4.3018303428114972E-7</v>
      </c>
      <c r="S98" s="87">
        <f t="shared" si="102"/>
        <v>1844875354.154526</v>
      </c>
      <c r="T98" s="87">
        <f t="shared" si="103"/>
        <v>825664854.90636683</v>
      </c>
      <c r="U98" s="87">
        <f t="shared" si="104"/>
        <v>0.81010238367386822</v>
      </c>
      <c r="V98" s="87">
        <f t="shared" si="105"/>
        <v>-1.8101023836738681</v>
      </c>
      <c r="W98" s="87">
        <f t="shared" si="106"/>
        <v>5.023425594485369E-5</v>
      </c>
      <c r="X98" s="87">
        <f t="shared" si="107"/>
        <v>1019210499.2481589</v>
      </c>
      <c r="Y98" s="86">
        <f>FieldFox!AG98</f>
        <v>0.1</v>
      </c>
      <c r="Z98" s="86">
        <f>FieldFox!AF98</f>
        <v>0.1</v>
      </c>
      <c r="AA98" s="86">
        <f>FieldFox!AH98</f>
        <v>0.1</v>
      </c>
      <c r="AB98" s="87">
        <f t="shared" si="108"/>
        <v>1.3389238540091567E-3</v>
      </c>
      <c r="AC98" s="87">
        <f t="shared" si="109"/>
        <v>1.3389238540091567E-3</v>
      </c>
      <c r="AD98" s="87">
        <f t="shared" si="110"/>
        <v>1.3389238540091567E-3</v>
      </c>
      <c r="AE98" s="87">
        <f>DUT!AF99</f>
        <v>0.2</v>
      </c>
      <c r="AF98" s="4">
        <f t="shared" si="111"/>
        <v>0.40853898265363492</v>
      </c>
      <c r="AG98" s="4">
        <f>'Meas. Noise Std'!AC99</f>
        <v>0.1</v>
      </c>
      <c r="AH98" s="4">
        <f>'Meas. Noise Std'!AD99</f>
        <v>1</v>
      </c>
      <c r="AI98" s="4">
        <f>DUT!AH99</f>
        <v>0</v>
      </c>
      <c r="AJ98" s="166">
        <f t="shared" si="112"/>
        <v>1.6341559306145403E-2</v>
      </c>
      <c r="AK98" s="166">
        <f t="shared" si="113"/>
        <v>0</v>
      </c>
      <c r="AL98" s="163">
        <f t="shared" si="137"/>
        <v>1.6341559306145403E-2</v>
      </c>
      <c r="AM98" s="4">
        <f t="shared" si="114"/>
        <v>0</v>
      </c>
      <c r="AN98" s="4">
        <f>DUT!AG99</f>
        <v>0.31622776601683794</v>
      </c>
      <c r="AO98" s="4">
        <f>IF(AND(UsePreamp,UseUserCal),Preamp!AF99,0)</f>
        <v>0.3981071705534972</v>
      </c>
      <c r="AP98" s="4">
        <f t="shared" si="115"/>
        <v>0.40853898265363492</v>
      </c>
      <c r="AQ98" s="88">
        <f t="shared" si="116"/>
        <v>1.8055713134491684</v>
      </c>
      <c r="AR98" s="88">
        <f t="shared" si="117"/>
        <v>0</v>
      </c>
      <c r="AS98" s="88">
        <f t="shared" si="138"/>
        <v>1.8055713134491684</v>
      </c>
      <c r="AT98" s="88">
        <f t="shared" si="118"/>
        <v>1.794101024863485</v>
      </c>
      <c r="AU98" s="88">
        <f t="shared" si="119"/>
        <v>15.979472932539238</v>
      </c>
      <c r="AV98" s="88">
        <f t="shared" si="139"/>
        <v>16.079874181384952</v>
      </c>
      <c r="AW98" s="88">
        <f>X98*Calibration!AT98*UseUserCal</f>
        <v>0.22843099786841564</v>
      </c>
      <c r="AX98" s="88">
        <f t="shared" si="120"/>
        <v>3.0744256849308269E-3</v>
      </c>
      <c r="AY98" s="167">
        <f t="shared" si="140"/>
        <v>0.22845168609675937</v>
      </c>
      <c r="AZ98" s="88">
        <f>U98*B98*(10^('Meas. Noise Std'!AB99/(ENRconf*10))-1)</f>
        <v>11.322883725670046</v>
      </c>
      <c r="BA98" s="88">
        <f t="shared" si="121"/>
        <v>0</v>
      </c>
      <c r="BB98" s="88">
        <f t="shared" si="122"/>
        <v>0</v>
      </c>
      <c r="BC98" s="88">
        <f t="shared" si="141"/>
        <v>0</v>
      </c>
      <c r="BD98" s="88">
        <f t="shared" si="123"/>
        <v>19.750501955521155</v>
      </c>
      <c r="BE98" s="4">
        <f t="shared" si="124"/>
        <v>39.501003911042311</v>
      </c>
      <c r="BF98" s="4">
        <f t="shared" si="125"/>
        <v>0.22933854830366102</v>
      </c>
      <c r="BG98" s="88">
        <f t="shared" si="126"/>
        <v>477.94806904882097</v>
      </c>
      <c r="BH98" s="88">
        <f t="shared" si="127"/>
        <v>398.94606122673639</v>
      </c>
      <c r="BI98" s="86">
        <f t="shared" si="128"/>
        <v>5.0907349989800315</v>
      </c>
      <c r="BJ98" s="86">
        <f>10*LOG10(($O98+NseMeas!T_0+BI98)/($O98+NseMeas!T_0))</f>
        <v>3.0245006045761878E-2</v>
      </c>
      <c r="BK98" s="86">
        <f t="shared" si="129"/>
        <v>31.958945865078476</v>
      </c>
      <c r="BL98" s="86">
        <f>10*LOG10(($O98+NseMeas!T_0+BK98)/($O98+NseMeas!T_0))</f>
        <v>0.18647543402094358</v>
      </c>
      <c r="BM98" s="86">
        <f t="shared" si="130"/>
        <v>22.645767451340092</v>
      </c>
      <c r="BN98" s="86">
        <f>10*LOG10(($O98+NseMeas!T_0+BM98)/($O98+NseMeas!T_0))</f>
        <v>0.13295619783758311</v>
      </c>
      <c r="BO98" s="86">
        <f t="shared" si="131"/>
        <v>0.45686199573683128</v>
      </c>
      <c r="BP98" s="86">
        <f>10*LOG10(($O98+NseMeas!T_0+BO98)/($O98+NseMeas!T_0))</f>
        <v>2.7229219493682755E-3</v>
      </c>
      <c r="BQ98" s="86">
        <f t="shared" si="132"/>
        <v>0</v>
      </c>
      <c r="BR98" s="86">
        <f>10*LOG10(($O98+NseMeas!T_0+BQ98)/($O98+NseMeas!T_0))</f>
        <v>0</v>
      </c>
      <c r="BT98" s="86">
        <f t="shared" si="133"/>
        <v>0</v>
      </c>
      <c r="BU98" s="86">
        <f>10*LOG10(($O98+NseMeas!T_0+BT98)/($O98+NseMeas!T_0))</f>
        <v>0</v>
      </c>
      <c r="BV98" s="86">
        <f t="shared" si="134"/>
        <v>31.958945865078476</v>
      </c>
      <c r="BW98" s="86">
        <f>10*LOG10(($O98+NseMeas!T_0+BV98)/($O98+NseMeas!T_0))</f>
        <v>0.18647543402094358</v>
      </c>
      <c r="BX98" s="175">
        <f>UseUserCal*X98*Calibration!AM98*nSD</f>
        <v>0</v>
      </c>
      <c r="BY98" s="86">
        <f>10*LOG10(($O98+NseMeas!T_0+BX98)/($O98+NseMeas!T_0))</f>
        <v>0</v>
      </c>
      <c r="BZ98" s="168">
        <f>UseUserCal*X98*Calibration!AP98*nSD</f>
        <v>0.45096991767149286</v>
      </c>
      <c r="CA98" s="86">
        <f>10*LOG10(($O98+NseMeas!T_0+BZ98)/($O98+NseMeas!T_0))</f>
        <v>2.6878157133072068E-3</v>
      </c>
      <c r="CB98" s="4">
        <f t="shared" si="135"/>
        <v>31.962127505434633</v>
      </c>
      <c r="CC98" s="86">
        <f>10*LOG10(($O98+NseMeas!T_0+CB98)/($O98+NseMeas!T_0))</f>
        <v>0.18649360544435875</v>
      </c>
    </row>
    <row r="99" spans="1:81">
      <c r="A99" s="4">
        <f t="shared" si="136"/>
        <v>26.500001000000001</v>
      </c>
      <c r="B99" s="164">
        <f>T_0*(1+10^('Meas. Noise Std'!AA100/10))</f>
        <v>1207.0605214488303</v>
      </c>
      <c r="C99" s="164">
        <f t="shared" si="93"/>
        <v>298</v>
      </c>
      <c r="D99" s="86">
        <f t="shared" si="94"/>
        <v>298</v>
      </c>
      <c r="E99" s="164">
        <f>IF(UsePreamp,T_0*(10^(Preamp!AE100/10)-1),0)</f>
        <v>627.06052144883006</v>
      </c>
      <c r="F99" s="164">
        <f>T_0*(10^((FieldFox!B99-kT0dB)/10)-1)</f>
        <v>45411.676407373438</v>
      </c>
      <c r="G99" s="86">
        <f>IF(UsePreamp,10^(Preamp!AD100/10),1)</f>
        <v>199.06734581632566</v>
      </c>
      <c r="H99" s="86">
        <f>T_0*(10^(DUT!AE100/10)-1)</f>
        <v>438.4470651377784</v>
      </c>
      <c r="I99" s="86">
        <f>10^(DUT!AD100/10)</f>
        <v>100</v>
      </c>
      <c r="J99" s="87">
        <f t="shared" si="95"/>
        <v>1.622883020530872E-6</v>
      </c>
      <c r="K99" s="87">
        <f t="shared" si="96"/>
        <v>7.3095684618375027E-7</v>
      </c>
      <c r="L99" s="87">
        <f t="shared" si="97"/>
        <v>2.2529120191543056E-9</v>
      </c>
      <c r="M99" s="87">
        <f>IF(UseUserCal,Calibration!M99,0)</f>
        <v>6.1524142648784919E-9</v>
      </c>
      <c r="N99" s="87">
        <f>IF(UseUserCal,Calibration!L99,1)</f>
        <v>199.06734581632574</v>
      </c>
      <c r="O99" s="165">
        <f t="shared" si="98"/>
        <v>438.44706513777868</v>
      </c>
      <c r="P99" s="86">
        <f t="shared" si="99"/>
        <v>99.999999999999943</v>
      </c>
      <c r="Q99" s="170">
        <f t="shared" si="100"/>
        <v>1.1843093476168496E-6</v>
      </c>
      <c r="R99" s="87">
        <f t="shared" si="101"/>
        <v>4.3018303428114972E-7</v>
      </c>
      <c r="S99" s="87">
        <f t="shared" si="102"/>
        <v>1844875354.154526</v>
      </c>
      <c r="T99" s="87">
        <f t="shared" si="103"/>
        <v>825664854.90636683</v>
      </c>
      <c r="U99" s="87">
        <f t="shared" si="104"/>
        <v>0.81010238367386822</v>
      </c>
      <c r="V99" s="87">
        <f t="shared" si="105"/>
        <v>-1.8101023836738681</v>
      </c>
      <c r="W99" s="87">
        <f t="shared" si="106"/>
        <v>5.023425594485369E-5</v>
      </c>
      <c r="X99" s="87">
        <f t="shared" si="107"/>
        <v>1019210499.2481589</v>
      </c>
      <c r="Y99" s="86">
        <f>FieldFox!AG99</f>
        <v>0.1</v>
      </c>
      <c r="Z99" s="86">
        <f>FieldFox!AF99</f>
        <v>0.1</v>
      </c>
      <c r="AA99" s="86">
        <f>FieldFox!AH99</f>
        <v>0.1</v>
      </c>
      <c r="AB99" s="87">
        <f t="shared" si="108"/>
        <v>1.3389238540091567E-3</v>
      </c>
      <c r="AC99" s="87">
        <f t="shared" si="109"/>
        <v>1.3389238540091567E-3</v>
      </c>
      <c r="AD99" s="87">
        <f t="shared" si="110"/>
        <v>1.3389238540091567E-3</v>
      </c>
      <c r="AE99" s="87">
        <f>DUT!AF100</f>
        <v>0.2</v>
      </c>
      <c r="AF99" s="4">
        <f t="shared" si="111"/>
        <v>0.40853898265363492</v>
      </c>
      <c r="AG99" s="4">
        <f>'Meas. Noise Std'!AC100</f>
        <v>0.1</v>
      </c>
      <c r="AH99" s="4">
        <f>'Meas. Noise Std'!AD100</f>
        <v>1</v>
      </c>
      <c r="AI99" s="4">
        <f>DUT!AH100</f>
        <v>0</v>
      </c>
      <c r="AJ99" s="166">
        <f t="shared" si="112"/>
        <v>1.6341559306145403E-2</v>
      </c>
      <c r="AK99" s="166">
        <f t="shared" si="113"/>
        <v>0</v>
      </c>
      <c r="AL99" s="163">
        <f t="shared" si="137"/>
        <v>1.6341559306145403E-2</v>
      </c>
      <c r="AM99" s="4">
        <f t="shared" si="114"/>
        <v>0</v>
      </c>
      <c r="AN99" s="4">
        <f>DUT!AG100</f>
        <v>0.31622776601683794</v>
      </c>
      <c r="AO99" s="4">
        <f>IF(AND(UsePreamp,UseUserCal),Preamp!AF100,0)</f>
        <v>0.3981071705534972</v>
      </c>
      <c r="AP99" s="4">
        <f t="shared" si="115"/>
        <v>0.40853898265363492</v>
      </c>
      <c r="AQ99" s="88">
        <f t="shared" si="116"/>
        <v>1.8055713134491684</v>
      </c>
      <c r="AR99" s="88">
        <f t="shared" si="117"/>
        <v>0</v>
      </c>
      <c r="AS99" s="88">
        <f t="shared" si="138"/>
        <v>1.8055713134491684</v>
      </c>
      <c r="AT99" s="88">
        <f t="shared" si="118"/>
        <v>1.794101024863485</v>
      </c>
      <c r="AU99" s="88">
        <f t="shared" si="119"/>
        <v>15.979472932539238</v>
      </c>
      <c r="AV99" s="88">
        <f t="shared" si="139"/>
        <v>16.079874181384952</v>
      </c>
      <c r="AW99" s="88">
        <f>X99*Calibration!AT99*UseUserCal</f>
        <v>0.22843099786841564</v>
      </c>
      <c r="AX99" s="88">
        <f t="shared" si="120"/>
        <v>3.0744256849308269E-3</v>
      </c>
      <c r="AY99" s="167">
        <f t="shared" si="140"/>
        <v>0.22845168609675937</v>
      </c>
      <c r="AZ99" s="88">
        <f>U99*B99*(10^('Meas. Noise Std'!AB100/(ENRconf*10))-1)</f>
        <v>11.322883725670046</v>
      </c>
      <c r="BA99" s="88">
        <f t="shared" si="121"/>
        <v>0</v>
      </c>
      <c r="BB99" s="88">
        <f t="shared" si="122"/>
        <v>0</v>
      </c>
      <c r="BC99" s="88">
        <f t="shared" si="141"/>
        <v>0</v>
      </c>
      <c r="BD99" s="88">
        <f t="shared" si="123"/>
        <v>19.750501955521155</v>
      </c>
      <c r="BE99" s="4">
        <f t="shared" si="124"/>
        <v>39.501003911042311</v>
      </c>
      <c r="BF99" s="4">
        <f t="shared" si="125"/>
        <v>0.22933854830366102</v>
      </c>
      <c r="BG99" s="88">
        <f t="shared" si="126"/>
        <v>477.94806904882097</v>
      </c>
      <c r="BH99" s="88">
        <f t="shared" si="127"/>
        <v>398.94606122673639</v>
      </c>
      <c r="BI99" s="86">
        <f t="shared" si="128"/>
        <v>5.0907349989800315</v>
      </c>
      <c r="BJ99" s="86">
        <f>10*LOG10(($O99+NseMeas!T_0+BI99)/($O99+NseMeas!T_0))</f>
        <v>3.0245006045761878E-2</v>
      </c>
      <c r="BK99" s="86">
        <f t="shared" si="129"/>
        <v>31.958945865078476</v>
      </c>
      <c r="BL99" s="86">
        <f>10*LOG10(($O99+NseMeas!T_0+BK99)/($O99+NseMeas!T_0))</f>
        <v>0.18647543402094358</v>
      </c>
      <c r="BM99" s="86">
        <f t="shared" si="130"/>
        <v>22.645767451340092</v>
      </c>
      <c r="BN99" s="86">
        <f>10*LOG10(($O99+NseMeas!T_0+BM99)/($O99+NseMeas!T_0))</f>
        <v>0.13295619783758311</v>
      </c>
      <c r="BO99" s="86">
        <f t="shared" si="131"/>
        <v>0.45686199573683128</v>
      </c>
      <c r="BP99" s="86">
        <f>10*LOG10(($O99+NseMeas!T_0+BO99)/($O99+NseMeas!T_0))</f>
        <v>2.7229219493682755E-3</v>
      </c>
      <c r="BQ99" s="86">
        <f t="shared" si="132"/>
        <v>0</v>
      </c>
      <c r="BR99" s="86">
        <f>10*LOG10(($O99+NseMeas!T_0+BQ99)/($O99+NseMeas!T_0))</f>
        <v>0</v>
      </c>
      <c r="BT99" s="86">
        <f t="shared" si="133"/>
        <v>0</v>
      </c>
      <c r="BU99" s="86">
        <f>10*LOG10(($O99+NseMeas!T_0+BT99)/($O99+NseMeas!T_0))</f>
        <v>0</v>
      </c>
      <c r="BV99" s="86">
        <f t="shared" si="134"/>
        <v>31.958945865078476</v>
      </c>
      <c r="BW99" s="86">
        <f>10*LOG10(($O99+NseMeas!T_0+BV99)/($O99+NseMeas!T_0))</f>
        <v>0.18647543402094358</v>
      </c>
      <c r="BX99" s="175">
        <f>UseUserCal*X99*Calibration!AM99*nSD</f>
        <v>0</v>
      </c>
      <c r="BY99" s="86">
        <f>10*LOG10(($O99+NseMeas!T_0+BX99)/($O99+NseMeas!T_0))</f>
        <v>0</v>
      </c>
      <c r="BZ99" s="168">
        <f>UseUserCal*X99*Calibration!AP99*nSD</f>
        <v>0.45096991767149286</v>
      </c>
      <c r="CA99" s="86">
        <f>10*LOG10(($O99+NseMeas!T_0+BZ99)/($O99+NseMeas!T_0))</f>
        <v>2.6878157133072068E-3</v>
      </c>
      <c r="CB99" s="4">
        <f t="shared" si="135"/>
        <v>31.962127505434633</v>
      </c>
      <c r="CC99" s="86">
        <f>10*LOG10(($O99+NseMeas!T_0+CB99)/($O99+NseMeas!T_0))</f>
        <v>0.18649360544435875</v>
      </c>
    </row>
    <row r="100" spans="1:81">
      <c r="A100" s="4">
        <f t="shared" si="136"/>
        <v>26.500001000000001</v>
      </c>
      <c r="B100" s="164">
        <f>T_0*(1+10^('Meas. Noise Std'!AA101/10))</f>
        <v>1207.0605214488303</v>
      </c>
      <c r="C100" s="164">
        <f t="shared" si="93"/>
        <v>298</v>
      </c>
      <c r="D100" s="86">
        <f t="shared" si="94"/>
        <v>298</v>
      </c>
      <c r="E100" s="164">
        <f>IF(UsePreamp,T_0*(10^(Preamp!AE101/10)-1),0)</f>
        <v>627.06052144883006</v>
      </c>
      <c r="F100" s="164">
        <f>T_0*(10^((FieldFox!B100-kT0dB)/10)-1)</f>
        <v>45411.676407373438</v>
      </c>
      <c r="G100" s="86">
        <f>IF(UsePreamp,10^(Preamp!AD101/10),1)</f>
        <v>199.06734581632566</v>
      </c>
      <c r="H100" s="86">
        <f>T_0*(10^(DUT!AE101/10)-1)</f>
        <v>438.4470651377784</v>
      </c>
      <c r="I100" s="86">
        <f>10^(DUT!AD101/10)</f>
        <v>100</v>
      </c>
      <c r="J100" s="87">
        <f t="shared" si="95"/>
        <v>1.622883020530872E-6</v>
      </c>
      <c r="K100" s="87">
        <f t="shared" si="96"/>
        <v>7.3095684618375027E-7</v>
      </c>
      <c r="L100" s="87">
        <f t="shared" si="97"/>
        <v>2.2529120191543056E-9</v>
      </c>
      <c r="M100" s="87">
        <f>IF(UseUserCal,Calibration!M100,0)</f>
        <v>6.1524142648784919E-9</v>
      </c>
      <c r="N100" s="87">
        <f>IF(UseUserCal,Calibration!L100,1)</f>
        <v>199.06734581632574</v>
      </c>
      <c r="O100" s="165">
        <f t="shared" si="98"/>
        <v>438.44706513777868</v>
      </c>
      <c r="P100" s="86">
        <f t="shared" si="99"/>
        <v>99.999999999999943</v>
      </c>
      <c r="Q100" s="170">
        <f t="shared" si="100"/>
        <v>1.1843093476168496E-6</v>
      </c>
      <c r="R100" s="87">
        <f t="shared" si="101"/>
        <v>4.3018303428114972E-7</v>
      </c>
      <c r="S100" s="87">
        <f t="shared" si="102"/>
        <v>1844875354.154526</v>
      </c>
      <c r="T100" s="87">
        <f t="shared" si="103"/>
        <v>825664854.90636683</v>
      </c>
      <c r="U100" s="87">
        <f t="shared" si="104"/>
        <v>0.81010238367386822</v>
      </c>
      <c r="V100" s="87">
        <f t="shared" si="105"/>
        <v>-1.8101023836738681</v>
      </c>
      <c r="W100" s="87">
        <f t="shared" si="106"/>
        <v>5.023425594485369E-5</v>
      </c>
      <c r="X100" s="87">
        <f t="shared" si="107"/>
        <v>1019210499.2481589</v>
      </c>
      <c r="Y100" s="86">
        <f>FieldFox!AG100</f>
        <v>0.1</v>
      </c>
      <c r="Z100" s="86">
        <f>FieldFox!AF100</f>
        <v>0.1</v>
      </c>
      <c r="AA100" s="86">
        <f>FieldFox!AH100</f>
        <v>0.1</v>
      </c>
      <c r="AB100" s="87">
        <f t="shared" si="108"/>
        <v>1.3389238540091567E-3</v>
      </c>
      <c r="AC100" s="87">
        <f t="shared" si="109"/>
        <v>1.3389238540091567E-3</v>
      </c>
      <c r="AD100" s="87">
        <f t="shared" si="110"/>
        <v>1.3389238540091567E-3</v>
      </c>
      <c r="AE100" s="87">
        <f>DUT!AF101</f>
        <v>0.2</v>
      </c>
      <c r="AF100" s="4">
        <f t="shared" si="111"/>
        <v>0.40853898265363492</v>
      </c>
      <c r="AG100" s="4">
        <f>'Meas. Noise Std'!AC101</f>
        <v>0.1</v>
      </c>
      <c r="AH100" s="4">
        <f>'Meas. Noise Std'!AD101</f>
        <v>1</v>
      </c>
      <c r="AI100" s="4">
        <f>DUT!AH101</f>
        <v>0</v>
      </c>
      <c r="AJ100" s="166">
        <f t="shared" si="112"/>
        <v>1.6341559306145403E-2</v>
      </c>
      <c r="AK100" s="166">
        <f t="shared" si="113"/>
        <v>0</v>
      </c>
      <c r="AL100" s="163">
        <f t="shared" si="137"/>
        <v>1.6341559306145403E-2</v>
      </c>
      <c r="AM100" s="4">
        <f t="shared" si="114"/>
        <v>0</v>
      </c>
      <c r="AN100" s="4">
        <f>DUT!AG101</f>
        <v>0.31622776601683794</v>
      </c>
      <c r="AO100" s="4">
        <f>IF(AND(UsePreamp,UseUserCal),Preamp!AF101,0)</f>
        <v>0.3981071705534972</v>
      </c>
      <c r="AP100" s="4">
        <f t="shared" si="115"/>
        <v>0.40853898265363492</v>
      </c>
      <c r="AQ100" s="88">
        <f t="shared" si="116"/>
        <v>1.8055713134491684</v>
      </c>
      <c r="AR100" s="88">
        <f t="shared" si="117"/>
        <v>0</v>
      </c>
      <c r="AS100" s="88">
        <f t="shared" si="138"/>
        <v>1.8055713134491684</v>
      </c>
      <c r="AT100" s="88">
        <f t="shared" si="118"/>
        <v>1.794101024863485</v>
      </c>
      <c r="AU100" s="88">
        <f t="shared" si="119"/>
        <v>15.979472932539238</v>
      </c>
      <c r="AV100" s="88">
        <f t="shared" si="139"/>
        <v>16.079874181384952</v>
      </c>
      <c r="AW100" s="88">
        <f>X100*Calibration!AT100*UseUserCal</f>
        <v>0.22843099786841564</v>
      </c>
      <c r="AX100" s="88">
        <f t="shared" si="120"/>
        <v>3.0744256849308269E-3</v>
      </c>
      <c r="AY100" s="167">
        <f t="shared" si="140"/>
        <v>0.22845168609675937</v>
      </c>
      <c r="AZ100" s="88">
        <f>U100*B100*(10^('Meas. Noise Std'!AB101/(ENRconf*10))-1)</f>
        <v>11.322883725670046</v>
      </c>
      <c r="BA100" s="88">
        <f t="shared" si="121"/>
        <v>0</v>
      </c>
      <c r="BB100" s="88">
        <f t="shared" si="122"/>
        <v>0</v>
      </c>
      <c r="BC100" s="88">
        <f t="shared" si="141"/>
        <v>0</v>
      </c>
      <c r="BD100" s="88">
        <f t="shared" si="123"/>
        <v>19.750501955521155</v>
      </c>
      <c r="BE100" s="4">
        <f t="shared" si="124"/>
        <v>39.501003911042311</v>
      </c>
      <c r="BF100" s="4">
        <f t="shared" si="125"/>
        <v>0.22933854830366102</v>
      </c>
      <c r="BG100" s="88">
        <f t="shared" si="126"/>
        <v>477.94806904882097</v>
      </c>
      <c r="BH100" s="88">
        <f t="shared" si="127"/>
        <v>398.94606122673639</v>
      </c>
      <c r="BI100" s="86">
        <f t="shared" si="128"/>
        <v>5.0907349989800315</v>
      </c>
      <c r="BJ100" s="86">
        <f>10*LOG10(($O100+NseMeas!T_0+BI100)/($O100+NseMeas!T_0))</f>
        <v>3.0245006045761878E-2</v>
      </c>
      <c r="BK100" s="86">
        <f t="shared" si="129"/>
        <v>31.958945865078476</v>
      </c>
      <c r="BL100" s="86">
        <f>10*LOG10(($O100+NseMeas!T_0+BK100)/($O100+NseMeas!T_0))</f>
        <v>0.18647543402094358</v>
      </c>
      <c r="BM100" s="86">
        <f t="shared" si="130"/>
        <v>22.645767451340092</v>
      </c>
      <c r="BN100" s="86">
        <f>10*LOG10(($O100+NseMeas!T_0+BM100)/($O100+NseMeas!T_0))</f>
        <v>0.13295619783758311</v>
      </c>
      <c r="BO100" s="86">
        <f t="shared" si="131"/>
        <v>0.45686199573683128</v>
      </c>
      <c r="BP100" s="86">
        <f>10*LOG10(($O100+NseMeas!T_0+BO100)/($O100+NseMeas!T_0))</f>
        <v>2.7229219493682755E-3</v>
      </c>
      <c r="BQ100" s="86">
        <f t="shared" si="132"/>
        <v>0</v>
      </c>
      <c r="BR100" s="86">
        <f>10*LOG10(($O100+NseMeas!T_0+BQ100)/($O100+NseMeas!T_0))</f>
        <v>0</v>
      </c>
      <c r="BT100" s="86">
        <f t="shared" si="133"/>
        <v>0</v>
      </c>
      <c r="BU100" s="86">
        <f>10*LOG10(($O100+NseMeas!T_0+BT100)/($O100+NseMeas!T_0))</f>
        <v>0</v>
      </c>
      <c r="BV100" s="86">
        <f t="shared" si="134"/>
        <v>31.958945865078476</v>
      </c>
      <c r="BW100" s="86">
        <f>10*LOG10(($O100+NseMeas!T_0+BV100)/($O100+NseMeas!T_0))</f>
        <v>0.18647543402094358</v>
      </c>
      <c r="BX100" s="175">
        <f>UseUserCal*X100*Calibration!AM100*nSD</f>
        <v>0</v>
      </c>
      <c r="BY100" s="86">
        <f>10*LOG10(($O100+NseMeas!T_0+BX100)/($O100+NseMeas!T_0))</f>
        <v>0</v>
      </c>
      <c r="BZ100" s="168">
        <f>UseUserCal*X100*Calibration!AP100*nSD</f>
        <v>0.45096991767149286</v>
      </c>
      <c r="CA100" s="86">
        <f>10*LOG10(($O100+NseMeas!T_0+BZ100)/($O100+NseMeas!T_0))</f>
        <v>2.6878157133072068E-3</v>
      </c>
      <c r="CB100" s="4">
        <f t="shared" si="135"/>
        <v>31.962127505434633</v>
      </c>
      <c r="CC100" s="86">
        <f>10*LOG10(($O100+NseMeas!T_0+CB100)/($O100+NseMeas!T_0))</f>
        <v>0.18649360544435875</v>
      </c>
    </row>
    <row r="101" spans="1:81">
      <c r="A101" s="4">
        <f t="shared" si="136"/>
        <v>26.500001000000001</v>
      </c>
      <c r="B101" s="164">
        <f>T_0*(1+10^('Meas. Noise Std'!AA102/10))</f>
        <v>1207.0605214488303</v>
      </c>
      <c r="C101" s="164">
        <f t="shared" ref="C101:C106" si="142">MeasAmbient</f>
        <v>298</v>
      </c>
      <c r="D101" s="86">
        <f t="shared" ref="D101:D106" si="143">MeasAmbient+FFAmbientOffset</f>
        <v>298</v>
      </c>
      <c r="E101" s="164">
        <f>IF(UsePreamp,T_0*(10^(Preamp!AE102/10)-1),0)</f>
        <v>627.06052144883006</v>
      </c>
      <c r="F101" s="164">
        <f>T_0*(10^((FieldFox!B101-kT0dB)/10)-1)</f>
        <v>45411.676407373438</v>
      </c>
      <c r="G101" s="86">
        <f>IF(UsePreamp,10^(Preamp!AD102/10),1)</f>
        <v>199.06734581632566</v>
      </c>
      <c r="H101" s="86">
        <f>T_0*(10^(DUT!AE102/10)-1)</f>
        <v>438.4470651377784</v>
      </c>
      <c r="I101" s="86">
        <f>10^(DUT!AD102/10)</f>
        <v>100</v>
      </c>
      <c r="J101" s="87">
        <f t="shared" ref="J101:J106" si="144">(((B101+H101)*I101+E101)*G101+F101)*k_mw*$F$2</f>
        <v>1.622883020530872E-6</v>
      </c>
      <c r="K101" s="87">
        <f t="shared" ref="K101:K106" si="145">(((C101+H101)*I101+E101)*G101+F101)*k_mw*$F$2</f>
        <v>7.3095684618375027E-7</v>
      </c>
      <c r="L101" s="87">
        <f t="shared" ref="L101:L106" si="146">MIN(K101,(D101+F101)*k_mw*$F$2)</f>
        <v>2.2529120191543056E-9</v>
      </c>
      <c r="M101" s="87">
        <f>IF(UseUserCal,Calibration!M101,0)</f>
        <v>6.1524142648784919E-9</v>
      </c>
      <c r="N101" s="87">
        <f>IF(UseUserCal,Calibration!L101,1)</f>
        <v>199.06734581632574</v>
      </c>
      <c r="O101" s="165">
        <f t="shared" ref="O101:O106" si="147">(B101*K101-C101*J101-(B101-C101)*(M101+L101-C101*k_mw*$F$2))/(J101-K101)</f>
        <v>438.44706513777868</v>
      </c>
      <c r="P101" s="86">
        <f t="shared" ref="P101:P106" si="148">(J101-K101)/(B101-C101)/k_mw/$F$2/N101</f>
        <v>99.999999999999943</v>
      </c>
      <c r="Q101" s="170">
        <f t="shared" ref="Q101:Q106" si="149">B101*I101*G101*k_mw*BW</f>
        <v>1.1843093476168496E-6</v>
      </c>
      <c r="R101" s="87">
        <f t="shared" ref="R101:R106" si="150">H101*I101*G101*k_mw*BW</f>
        <v>4.3018303428114972E-7</v>
      </c>
      <c r="S101" s="87">
        <f t="shared" ref="S101:S106" si="151">(B101-C101)*(J101-M101-L101)/((J101-K101)^2)</f>
        <v>1844875354.154526</v>
      </c>
      <c r="T101" s="87">
        <f t="shared" ref="T101:T106" si="152">(B101-C101)*(K101-M101-L101)/((J101-K101)^2)</f>
        <v>825664854.90636683</v>
      </c>
      <c r="U101" s="87">
        <f t="shared" ref="U101:U106" si="153">(K101-(L101+M101))/(J101-K101)</f>
        <v>0.81010238367386822</v>
      </c>
      <c r="V101" s="87">
        <f t="shared" ref="V101:V106" si="154">(-J101+(L101+M101))/(J101-K101)</f>
        <v>-1.8101023836738681</v>
      </c>
      <c r="W101" s="87">
        <f t="shared" ref="W101:W106" si="155">(B101-C101)*k_mw*BW/(J101-K101)</f>
        <v>5.023425594485369E-5</v>
      </c>
      <c r="X101" s="87">
        <f t="shared" ref="X101:X106" si="156">(B101-C101)/(J101-K101)</f>
        <v>1019210499.2481589</v>
      </c>
      <c r="Y101" s="86">
        <f>FieldFox!AG101</f>
        <v>0.1</v>
      </c>
      <c r="Z101" s="86">
        <f>FieldFox!AF101</f>
        <v>0.1</v>
      </c>
      <c r="AA101" s="86">
        <f>FieldFox!AH101</f>
        <v>0.1</v>
      </c>
      <c r="AB101" s="87">
        <f t="shared" ref="AB101:AB106" si="157">Jitter1H1s/SQRT(BW*Y101)</f>
        <v>1.3389238540091567E-3</v>
      </c>
      <c r="AC101" s="87">
        <f t="shared" ref="AC101:AC106" si="158">Jitter1H1s/SQRT(BW*Z101)</f>
        <v>1.3389238540091567E-3</v>
      </c>
      <c r="AD101" s="87">
        <f t="shared" ref="AD101:AD106" si="159">Jitter1H1s/SQRT(BW*AA101)</f>
        <v>1.3389238540091567E-3</v>
      </c>
      <c r="AE101" s="87">
        <f>DUT!AF102</f>
        <v>0.2</v>
      </c>
      <c r="AF101" s="4">
        <f t="shared" ref="AF101:AF106" si="160">DutConf</f>
        <v>0.40853898265363492</v>
      </c>
      <c r="AG101" s="4">
        <f>'Meas. Noise Std'!AC102</f>
        <v>0.1</v>
      </c>
      <c r="AH101" s="4">
        <f>'Meas. Noise Std'!AD102</f>
        <v>1</v>
      </c>
      <c r="AI101" s="4">
        <f>DUT!AH102</f>
        <v>0</v>
      </c>
      <c r="AJ101" s="166">
        <f t="shared" ref="AJ101:AJ106" si="161">2*SQRT(2)*AE101*AF101*AG101*NseSrcConf</f>
        <v>1.6341559306145403E-2</v>
      </c>
      <c r="AK101" s="166">
        <f t="shared" ref="AK101:AK106" si="162">2*SQRT(2)*AG101*NseSrcConf*AI101*AF101</f>
        <v>0</v>
      </c>
      <c r="AL101" s="163">
        <f t="shared" si="137"/>
        <v>1.6341559306145403E-2</v>
      </c>
      <c r="AM101" s="4">
        <f t="shared" ref="AM101:AM106" si="163">2*SQRT(2)*AF101*AH101*AI101*NseSrcConf</f>
        <v>0</v>
      </c>
      <c r="AN101" s="4">
        <f>DUT!AG102</f>
        <v>0.31622776601683794</v>
      </c>
      <c r="AO101" s="4">
        <f>IF(AND(UsePreamp,UseUserCal),Preamp!AF102,0)</f>
        <v>0.3981071705534972</v>
      </c>
      <c r="AP101" s="4">
        <f t="shared" ref="AP101:AP106" si="164">PreampGamConf</f>
        <v>0.40853898265363492</v>
      </c>
      <c r="AQ101" s="88">
        <f t="shared" ref="AQ101:AQ106" si="165">AB101*K101*S101</f>
        <v>1.8055713134491684</v>
      </c>
      <c r="AR101" s="88">
        <f t="shared" ref="AR101:AR106" si="166">AM101*R101*S101</f>
        <v>0</v>
      </c>
      <c r="AS101" s="88">
        <f t="shared" si="138"/>
        <v>1.8055713134491684</v>
      </c>
      <c r="AT101" s="88">
        <f t="shared" ref="AT101:AT106" si="167">AC101*J101*T101</f>
        <v>1.794101024863485</v>
      </c>
      <c r="AU101" s="88">
        <f t="shared" ref="AU101:AU106" si="168">AL101*Q101*T101</f>
        <v>15.979472932539238</v>
      </c>
      <c r="AV101" s="88">
        <f t="shared" si="139"/>
        <v>16.079874181384952</v>
      </c>
      <c r="AW101" s="88">
        <f>X101*Calibration!AT101*UseUserCal</f>
        <v>0.22843099786841564</v>
      </c>
      <c r="AX101" s="88">
        <f t="shared" ref="AX101:AX106" si="169">X101*AD101*L101</f>
        <v>3.0744256849308269E-3</v>
      </c>
      <c r="AY101" s="167">
        <f t="shared" si="140"/>
        <v>0.22845168609675937</v>
      </c>
      <c r="AZ101" s="88">
        <f>U101*B101*(10^('Meas. Noise Std'!AB102/(ENRconf*10))-1)</f>
        <v>11.322883725670046</v>
      </c>
      <c r="BA101" s="88">
        <f t="shared" ref="BA101:BA106" si="170">TambientDrift*V101</f>
        <v>0</v>
      </c>
      <c r="BB101" s="88">
        <f t="shared" ref="BB101:BB106" si="171">TffDelta*W101</f>
        <v>0</v>
      </c>
      <c r="BC101" s="88">
        <f t="shared" si="141"/>
        <v>0</v>
      </c>
      <c r="BD101" s="88">
        <f t="shared" ref="BD101:BD106" si="172">SQRT((AS101)^2+(AV101)^2+(AZ101)^2+(AY101)^2+BC101^2)</f>
        <v>19.750501955521155</v>
      </c>
      <c r="BE101" s="4">
        <f t="shared" ref="BE101:BE106" si="173">BD101*nSD</f>
        <v>39.501003911042311</v>
      </c>
      <c r="BF101" s="4">
        <f t="shared" ref="BF101:BF106" si="174">10*LOG10((H101+T_0+BE101)/(H101+T_0))</f>
        <v>0.22933854830366102</v>
      </c>
      <c r="BG101" s="88">
        <f t="shared" ref="BG101:BG106" si="175">O101+BE101</f>
        <v>477.94806904882097</v>
      </c>
      <c r="BH101" s="88">
        <f t="shared" ref="BH101:BH106" si="176">MAX(-289,O101-BE101)</f>
        <v>398.94606122673639</v>
      </c>
      <c r="BI101" s="86">
        <f t="shared" ref="BI101:BI106" si="177">SQRT(AX101^2+AT101^2+AQ101^2)*nSD</f>
        <v>5.0907349989800315</v>
      </c>
      <c r="BJ101" s="86">
        <f>10*LOG10(($O101+NseMeas!T_0+BI101)/($O101+NseMeas!T_0))</f>
        <v>3.0245006045761878E-2</v>
      </c>
      <c r="BK101" s="86">
        <f t="shared" ref="BK101:BK106" si="178">SQRT(AR101^2+AU101^2)*nSD</f>
        <v>31.958945865078476</v>
      </c>
      <c r="BL101" s="86">
        <f>10*LOG10(($O101+NseMeas!T_0+BK101)/($O101+NseMeas!T_0))</f>
        <v>0.18647543402094358</v>
      </c>
      <c r="BM101" s="86">
        <f t="shared" ref="BM101:BM106" si="179">AZ101*nSD</f>
        <v>22.645767451340092</v>
      </c>
      <c r="BN101" s="86">
        <f>10*LOG10(($O101+NseMeas!T_0+BM101)/($O101+NseMeas!T_0))</f>
        <v>0.13295619783758311</v>
      </c>
      <c r="BO101" s="86">
        <f t="shared" ref="BO101:BO106" si="180">AW101*nSD</f>
        <v>0.45686199573683128</v>
      </c>
      <c r="BP101" s="86">
        <f>10*LOG10(($O101+NseMeas!T_0+BO101)/($O101+NseMeas!T_0))</f>
        <v>2.7229219493682755E-3</v>
      </c>
      <c r="BQ101" s="86">
        <f t="shared" ref="BQ101:BQ106" si="181">BC101*nSD</f>
        <v>0</v>
      </c>
      <c r="BR101" s="86">
        <f>10*LOG10(($O101+NseMeas!T_0+BQ101)/($O101+NseMeas!T_0))</f>
        <v>0</v>
      </c>
      <c r="BT101" s="86">
        <f t="shared" ref="BT101:BT106" si="182">AR101*nSD</f>
        <v>0</v>
      </c>
      <c r="BU101" s="86">
        <f>10*LOG10(($O101+NseMeas!T_0+BT101)/($O101+NseMeas!T_0))</f>
        <v>0</v>
      </c>
      <c r="BV101" s="86">
        <f t="shared" ref="BV101:BV106" si="183">AU101*nSD</f>
        <v>31.958945865078476</v>
      </c>
      <c r="BW101" s="86">
        <f>10*LOG10(($O101+NseMeas!T_0+BV101)/($O101+NseMeas!T_0))</f>
        <v>0.18647543402094358</v>
      </c>
      <c r="BX101" s="175">
        <f>UseUserCal*X101*Calibration!AM101*nSD</f>
        <v>0</v>
      </c>
      <c r="BY101" s="86">
        <f>10*LOG10(($O101+NseMeas!T_0+BX101)/($O101+NseMeas!T_0))</f>
        <v>0</v>
      </c>
      <c r="BZ101" s="168">
        <f>UseUserCal*X101*Calibration!AP101*nSD</f>
        <v>0.45096991767149286</v>
      </c>
      <c r="CA101" s="86">
        <f>10*LOG10(($O101+NseMeas!T_0+BZ101)/($O101+NseMeas!T_0))</f>
        <v>2.6878157133072068E-3</v>
      </c>
      <c r="CB101" s="4">
        <f t="shared" ref="CB101:CB106" si="184">SQRT(BT101^2+BV101^2+BX101^2+BZ101^2)</f>
        <v>31.962127505434633</v>
      </c>
      <c r="CC101" s="86">
        <f>10*LOG10(($O101+NseMeas!T_0+CB101)/($O101+NseMeas!T_0))</f>
        <v>0.18649360544435875</v>
      </c>
    </row>
    <row r="102" spans="1:81">
      <c r="A102" s="4">
        <f t="shared" si="136"/>
        <v>26.500001000000001</v>
      </c>
      <c r="B102" s="164">
        <f>T_0*(1+10^('Meas. Noise Std'!AA103/10))</f>
        <v>1207.0605214488303</v>
      </c>
      <c r="C102" s="164">
        <f t="shared" si="142"/>
        <v>298</v>
      </c>
      <c r="D102" s="86">
        <f t="shared" si="143"/>
        <v>298</v>
      </c>
      <c r="E102" s="164">
        <f>IF(UsePreamp,T_0*(10^(Preamp!AE103/10)-1),0)</f>
        <v>627.06052144883006</v>
      </c>
      <c r="F102" s="164">
        <f>T_0*(10^((FieldFox!B102-kT0dB)/10)-1)</f>
        <v>45411.676407373438</v>
      </c>
      <c r="G102" s="86">
        <f>IF(UsePreamp,10^(Preamp!AD103/10),1)</f>
        <v>199.06734581632566</v>
      </c>
      <c r="H102" s="86">
        <f>T_0*(10^(DUT!AE103/10)-1)</f>
        <v>438.4470651377784</v>
      </c>
      <c r="I102" s="86">
        <f>10^(DUT!AD103/10)</f>
        <v>100</v>
      </c>
      <c r="J102" s="87">
        <f t="shared" si="144"/>
        <v>1.622883020530872E-6</v>
      </c>
      <c r="K102" s="87">
        <f t="shared" si="145"/>
        <v>7.3095684618375027E-7</v>
      </c>
      <c r="L102" s="87">
        <f t="shared" si="146"/>
        <v>2.2529120191543056E-9</v>
      </c>
      <c r="M102" s="87">
        <f>IF(UseUserCal,Calibration!M102,0)</f>
        <v>6.1524142648784919E-9</v>
      </c>
      <c r="N102" s="87">
        <f>IF(UseUserCal,Calibration!L102,1)</f>
        <v>199.06734581632574</v>
      </c>
      <c r="O102" s="165">
        <f t="shared" si="147"/>
        <v>438.44706513777868</v>
      </c>
      <c r="P102" s="86">
        <f t="shared" si="148"/>
        <v>99.999999999999943</v>
      </c>
      <c r="Q102" s="170">
        <f t="shared" si="149"/>
        <v>1.1843093476168496E-6</v>
      </c>
      <c r="R102" s="87">
        <f t="shared" si="150"/>
        <v>4.3018303428114972E-7</v>
      </c>
      <c r="S102" s="87">
        <f t="shared" si="151"/>
        <v>1844875354.154526</v>
      </c>
      <c r="T102" s="87">
        <f t="shared" si="152"/>
        <v>825664854.90636683</v>
      </c>
      <c r="U102" s="87">
        <f t="shared" si="153"/>
        <v>0.81010238367386822</v>
      </c>
      <c r="V102" s="87">
        <f t="shared" si="154"/>
        <v>-1.8101023836738681</v>
      </c>
      <c r="W102" s="87">
        <f t="shared" si="155"/>
        <v>5.023425594485369E-5</v>
      </c>
      <c r="X102" s="87">
        <f t="shared" si="156"/>
        <v>1019210499.2481589</v>
      </c>
      <c r="Y102" s="86">
        <f>FieldFox!AG102</f>
        <v>0.1</v>
      </c>
      <c r="Z102" s="86">
        <f>FieldFox!AF102</f>
        <v>0.1</v>
      </c>
      <c r="AA102" s="86">
        <f>FieldFox!AH102</f>
        <v>0.1</v>
      </c>
      <c r="AB102" s="87">
        <f t="shared" si="157"/>
        <v>1.3389238540091567E-3</v>
      </c>
      <c r="AC102" s="87">
        <f t="shared" si="158"/>
        <v>1.3389238540091567E-3</v>
      </c>
      <c r="AD102" s="87">
        <f t="shared" si="159"/>
        <v>1.3389238540091567E-3</v>
      </c>
      <c r="AE102" s="87">
        <f>DUT!AF103</f>
        <v>0.2</v>
      </c>
      <c r="AF102" s="4">
        <f t="shared" si="160"/>
        <v>0.40853898265363492</v>
      </c>
      <c r="AG102" s="4">
        <f>'Meas. Noise Std'!AC103</f>
        <v>0.1</v>
      </c>
      <c r="AH102" s="4">
        <f>'Meas. Noise Std'!AD103</f>
        <v>1</v>
      </c>
      <c r="AI102" s="4">
        <f>DUT!AH103</f>
        <v>0</v>
      </c>
      <c r="AJ102" s="166">
        <f t="shared" si="161"/>
        <v>1.6341559306145403E-2</v>
      </c>
      <c r="AK102" s="166">
        <f t="shared" si="162"/>
        <v>0</v>
      </c>
      <c r="AL102" s="163">
        <f t="shared" si="137"/>
        <v>1.6341559306145403E-2</v>
      </c>
      <c r="AM102" s="4">
        <f t="shared" si="163"/>
        <v>0</v>
      </c>
      <c r="AN102" s="4">
        <f>DUT!AG103</f>
        <v>0.31622776601683794</v>
      </c>
      <c r="AO102" s="4">
        <f>IF(AND(UsePreamp,UseUserCal),Preamp!AF103,0)</f>
        <v>0.3981071705534972</v>
      </c>
      <c r="AP102" s="4">
        <f t="shared" si="164"/>
        <v>0.40853898265363492</v>
      </c>
      <c r="AQ102" s="88">
        <f t="shared" si="165"/>
        <v>1.8055713134491684</v>
      </c>
      <c r="AR102" s="88">
        <f t="shared" si="166"/>
        <v>0</v>
      </c>
      <c r="AS102" s="88">
        <f t="shared" si="138"/>
        <v>1.8055713134491684</v>
      </c>
      <c r="AT102" s="88">
        <f t="shared" si="167"/>
        <v>1.794101024863485</v>
      </c>
      <c r="AU102" s="88">
        <f t="shared" si="168"/>
        <v>15.979472932539238</v>
      </c>
      <c r="AV102" s="88">
        <f t="shared" si="139"/>
        <v>16.079874181384952</v>
      </c>
      <c r="AW102" s="88">
        <f>X102*Calibration!AT102*UseUserCal</f>
        <v>0.22843099786841564</v>
      </c>
      <c r="AX102" s="88">
        <f t="shared" si="169"/>
        <v>3.0744256849308269E-3</v>
      </c>
      <c r="AY102" s="167">
        <f t="shared" si="140"/>
        <v>0.22845168609675937</v>
      </c>
      <c r="AZ102" s="88">
        <f>U102*B102*(10^('Meas. Noise Std'!AB103/(ENRconf*10))-1)</f>
        <v>11.322883725670046</v>
      </c>
      <c r="BA102" s="88">
        <f t="shared" si="170"/>
        <v>0</v>
      </c>
      <c r="BB102" s="88">
        <f t="shared" si="171"/>
        <v>0</v>
      </c>
      <c r="BC102" s="88">
        <f t="shared" si="141"/>
        <v>0</v>
      </c>
      <c r="BD102" s="88">
        <f t="shared" si="172"/>
        <v>19.750501955521155</v>
      </c>
      <c r="BE102" s="4">
        <f t="shared" si="173"/>
        <v>39.501003911042311</v>
      </c>
      <c r="BF102" s="4">
        <f t="shared" si="174"/>
        <v>0.22933854830366102</v>
      </c>
      <c r="BG102" s="88">
        <f t="shared" si="175"/>
        <v>477.94806904882097</v>
      </c>
      <c r="BH102" s="88">
        <f t="shared" si="176"/>
        <v>398.94606122673639</v>
      </c>
      <c r="BI102" s="86">
        <f t="shared" si="177"/>
        <v>5.0907349989800315</v>
      </c>
      <c r="BJ102" s="86">
        <f>10*LOG10(($O102+NseMeas!T_0+BI102)/($O102+NseMeas!T_0))</f>
        <v>3.0245006045761878E-2</v>
      </c>
      <c r="BK102" s="86">
        <f t="shared" si="178"/>
        <v>31.958945865078476</v>
      </c>
      <c r="BL102" s="86">
        <f>10*LOG10(($O102+NseMeas!T_0+BK102)/($O102+NseMeas!T_0))</f>
        <v>0.18647543402094358</v>
      </c>
      <c r="BM102" s="86">
        <f t="shared" si="179"/>
        <v>22.645767451340092</v>
      </c>
      <c r="BN102" s="86">
        <f>10*LOG10(($O102+NseMeas!T_0+BM102)/($O102+NseMeas!T_0))</f>
        <v>0.13295619783758311</v>
      </c>
      <c r="BO102" s="86">
        <f t="shared" si="180"/>
        <v>0.45686199573683128</v>
      </c>
      <c r="BP102" s="86">
        <f>10*LOG10(($O102+NseMeas!T_0+BO102)/($O102+NseMeas!T_0))</f>
        <v>2.7229219493682755E-3</v>
      </c>
      <c r="BQ102" s="86">
        <f t="shared" si="181"/>
        <v>0</v>
      </c>
      <c r="BR102" s="86">
        <f>10*LOG10(($O102+NseMeas!T_0+BQ102)/($O102+NseMeas!T_0))</f>
        <v>0</v>
      </c>
      <c r="BT102" s="86">
        <f t="shared" si="182"/>
        <v>0</v>
      </c>
      <c r="BU102" s="86">
        <f>10*LOG10(($O102+NseMeas!T_0+BT102)/($O102+NseMeas!T_0))</f>
        <v>0</v>
      </c>
      <c r="BV102" s="86">
        <f t="shared" si="183"/>
        <v>31.958945865078476</v>
      </c>
      <c r="BW102" s="86">
        <f>10*LOG10(($O102+NseMeas!T_0+BV102)/($O102+NseMeas!T_0))</f>
        <v>0.18647543402094358</v>
      </c>
      <c r="BX102" s="175">
        <f>UseUserCal*X102*Calibration!AM102*nSD</f>
        <v>0</v>
      </c>
      <c r="BY102" s="86">
        <f>10*LOG10(($O102+NseMeas!T_0+BX102)/($O102+NseMeas!T_0))</f>
        <v>0</v>
      </c>
      <c r="BZ102" s="168">
        <f>UseUserCal*X102*Calibration!AP102*nSD</f>
        <v>0.45096991767149286</v>
      </c>
      <c r="CA102" s="86">
        <f>10*LOG10(($O102+NseMeas!T_0+BZ102)/($O102+NseMeas!T_0))</f>
        <v>2.6878157133072068E-3</v>
      </c>
      <c r="CB102" s="4">
        <f t="shared" si="184"/>
        <v>31.962127505434633</v>
      </c>
      <c r="CC102" s="86">
        <f>10*LOG10(($O102+NseMeas!T_0+CB102)/($O102+NseMeas!T_0))</f>
        <v>0.18649360544435875</v>
      </c>
    </row>
    <row r="103" spans="1:81">
      <c r="A103" s="4">
        <f t="shared" si="136"/>
        <v>26.500001000000001</v>
      </c>
      <c r="B103" s="164">
        <f>T_0*(1+10^('Meas. Noise Std'!AA104/10))</f>
        <v>1207.0605214488303</v>
      </c>
      <c r="C103" s="164">
        <f t="shared" si="142"/>
        <v>298</v>
      </c>
      <c r="D103" s="86">
        <f t="shared" si="143"/>
        <v>298</v>
      </c>
      <c r="E103" s="164">
        <f>IF(UsePreamp,T_0*(10^(Preamp!AE104/10)-1),0)</f>
        <v>627.06052144883006</v>
      </c>
      <c r="F103" s="164">
        <f>T_0*(10^((FieldFox!B103-kT0dB)/10)-1)</f>
        <v>45411.676407373438</v>
      </c>
      <c r="G103" s="86">
        <f>IF(UsePreamp,10^(Preamp!AD104/10),1)</f>
        <v>199.06734581632566</v>
      </c>
      <c r="H103" s="86">
        <f>T_0*(10^(DUT!AE104/10)-1)</f>
        <v>438.4470651377784</v>
      </c>
      <c r="I103" s="86">
        <f>10^(DUT!AD104/10)</f>
        <v>100</v>
      </c>
      <c r="J103" s="87">
        <f t="shared" si="144"/>
        <v>1.622883020530872E-6</v>
      </c>
      <c r="K103" s="87">
        <f t="shared" si="145"/>
        <v>7.3095684618375027E-7</v>
      </c>
      <c r="L103" s="87">
        <f t="shared" si="146"/>
        <v>2.2529120191543056E-9</v>
      </c>
      <c r="M103" s="87">
        <f>IF(UseUserCal,Calibration!M103,0)</f>
        <v>6.1524142648784919E-9</v>
      </c>
      <c r="N103" s="87">
        <f>IF(UseUserCal,Calibration!L103,1)</f>
        <v>199.06734581632574</v>
      </c>
      <c r="O103" s="165">
        <f t="shared" si="147"/>
        <v>438.44706513777868</v>
      </c>
      <c r="P103" s="86">
        <f t="shared" si="148"/>
        <v>99.999999999999943</v>
      </c>
      <c r="Q103" s="170">
        <f t="shared" si="149"/>
        <v>1.1843093476168496E-6</v>
      </c>
      <c r="R103" s="87">
        <f t="shared" si="150"/>
        <v>4.3018303428114972E-7</v>
      </c>
      <c r="S103" s="87">
        <f t="shared" si="151"/>
        <v>1844875354.154526</v>
      </c>
      <c r="T103" s="87">
        <f t="shared" si="152"/>
        <v>825664854.90636683</v>
      </c>
      <c r="U103" s="87">
        <f t="shared" si="153"/>
        <v>0.81010238367386822</v>
      </c>
      <c r="V103" s="87">
        <f t="shared" si="154"/>
        <v>-1.8101023836738681</v>
      </c>
      <c r="W103" s="87">
        <f t="shared" si="155"/>
        <v>5.023425594485369E-5</v>
      </c>
      <c r="X103" s="87">
        <f t="shared" si="156"/>
        <v>1019210499.2481589</v>
      </c>
      <c r="Y103" s="86">
        <f>FieldFox!AG103</f>
        <v>0.1</v>
      </c>
      <c r="Z103" s="86">
        <f>FieldFox!AF103</f>
        <v>0.1</v>
      </c>
      <c r="AA103" s="86">
        <f>FieldFox!AH103</f>
        <v>0.1</v>
      </c>
      <c r="AB103" s="87">
        <f t="shared" si="157"/>
        <v>1.3389238540091567E-3</v>
      </c>
      <c r="AC103" s="87">
        <f t="shared" si="158"/>
        <v>1.3389238540091567E-3</v>
      </c>
      <c r="AD103" s="87">
        <f t="shared" si="159"/>
        <v>1.3389238540091567E-3</v>
      </c>
      <c r="AE103" s="87">
        <f>DUT!AF104</f>
        <v>0.2</v>
      </c>
      <c r="AF103" s="4">
        <f t="shared" si="160"/>
        <v>0.40853898265363492</v>
      </c>
      <c r="AG103" s="4">
        <f>'Meas. Noise Std'!AC104</f>
        <v>0.1</v>
      </c>
      <c r="AH103" s="4">
        <f>'Meas. Noise Std'!AD104</f>
        <v>1</v>
      </c>
      <c r="AI103" s="4">
        <f>DUT!AH104</f>
        <v>0</v>
      </c>
      <c r="AJ103" s="166">
        <f t="shared" si="161"/>
        <v>1.6341559306145403E-2</v>
      </c>
      <c r="AK103" s="166">
        <f t="shared" si="162"/>
        <v>0</v>
      </c>
      <c r="AL103" s="163">
        <f t="shared" si="137"/>
        <v>1.6341559306145403E-2</v>
      </c>
      <c r="AM103" s="4">
        <f t="shared" si="163"/>
        <v>0</v>
      </c>
      <c r="AN103" s="4">
        <f>DUT!AG104</f>
        <v>0.31622776601683794</v>
      </c>
      <c r="AO103" s="4">
        <f>IF(AND(UsePreamp,UseUserCal),Preamp!AF104,0)</f>
        <v>0.3981071705534972</v>
      </c>
      <c r="AP103" s="4">
        <f t="shared" si="164"/>
        <v>0.40853898265363492</v>
      </c>
      <c r="AQ103" s="88">
        <f t="shared" si="165"/>
        <v>1.8055713134491684</v>
      </c>
      <c r="AR103" s="88">
        <f t="shared" si="166"/>
        <v>0</v>
      </c>
      <c r="AS103" s="88">
        <f t="shared" si="138"/>
        <v>1.8055713134491684</v>
      </c>
      <c r="AT103" s="88">
        <f t="shared" si="167"/>
        <v>1.794101024863485</v>
      </c>
      <c r="AU103" s="88">
        <f t="shared" si="168"/>
        <v>15.979472932539238</v>
      </c>
      <c r="AV103" s="88">
        <f t="shared" si="139"/>
        <v>16.079874181384952</v>
      </c>
      <c r="AW103" s="88">
        <f>X103*Calibration!AT103*UseUserCal</f>
        <v>0.22843099786841564</v>
      </c>
      <c r="AX103" s="88">
        <f t="shared" si="169"/>
        <v>3.0744256849308269E-3</v>
      </c>
      <c r="AY103" s="167">
        <f t="shared" si="140"/>
        <v>0.22845168609675937</v>
      </c>
      <c r="AZ103" s="88">
        <f>U103*B103*(10^('Meas. Noise Std'!AB104/(ENRconf*10))-1)</f>
        <v>11.322883725670046</v>
      </c>
      <c r="BA103" s="88">
        <f t="shared" si="170"/>
        <v>0</v>
      </c>
      <c r="BB103" s="88">
        <f t="shared" si="171"/>
        <v>0</v>
      </c>
      <c r="BC103" s="88">
        <f t="shared" si="141"/>
        <v>0</v>
      </c>
      <c r="BD103" s="88">
        <f t="shared" si="172"/>
        <v>19.750501955521155</v>
      </c>
      <c r="BE103" s="4">
        <f t="shared" si="173"/>
        <v>39.501003911042311</v>
      </c>
      <c r="BF103" s="4">
        <f t="shared" si="174"/>
        <v>0.22933854830366102</v>
      </c>
      <c r="BG103" s="88">
        <f t="shared" si="175"/>
        <v>477.94806904882097</v>
      </c>
      <c r="BH103" s="88">
        <f t="shared" si="176"/>
        <v>398.94606122673639</v>
      </c>
      <c r="BI103" s="86">
        <f t="shared" si="177"/>
        <v>5.0907349989800315</v>
      </c>
      <c r="BJ103" s="86">
        <f>10*LOG10(($O103+NseMeas!T_0+BI103)/($O103+NseMeas!T_0))</f>
        <v>3.0245006045761878E-2</v>
      </c>
      <c r="BK103" s="86">
        <f t="shared" si="178"/>
        <v>31.958945865078476</v>
      </c>
      <c r="BL103" s="86">
        <f>10*LOG10(($O103+NseMeas!T_0+BK103)/($O103+NseMeas!T_0))</f>
        <v>0.18647543402094358</v>
      </c>
      <c r="BM103" s="86">
        <f t="shared" si="179"/>
        <v>22.645767451340092</v>
      </c>
      <c r="BN103" s="86">
        <f>10*LOG10(($O103+NseMeas!T_0+BM103)/($O103+NseMeas!T_0))</f>
        <v>0.13295619783758311</v>
      </c>
      <c r="BO103" s="86">
        <f t="shared" si="180"/>
        <v>0.45686199573683128</v>
      </c>
      <c r="BP103" s="86">
        <f>10*LOG10(($O103+NseMeas!T_0+BO103)/($O103+NseMeas!T_0))</f>
        <v>2.7229219493682755E-3</v>
      </c>
      <c r="BQ103" s="86">
        <f t="shared" si="181"/>
        <v>0</v>
      </c>
      <c r="BR103" s="86">
        <f>10*LOG10(($O103+NseMeas!T_0+BQ103)/($O103+NseMeas!T_0))</f>
        <v>0</v>
      </c>
      <c r="BT103" s="86">
        <f t="shared" si="182"/>
        <v>0</v>
      </c>
      <c r="BU103" s="86">
        <f>10*LOG10(($O103+NseMeas!T_0+BT103)/($O103+NseMeas!T_0))</f>
        <v>0</v>
      </c>
      <c r="BV103" s="86">
        <f t="shared" si="183"/>
        <v>31.958945865078476</v>
      </c>
      <c r="BW103" s="86">
        <f>10*LOG10(($O103+NseMeas!T_0+BV103)/($O103+NseMeas!T_0))</f>
        <v>0.18647543402094358</v>
      </c>
      <c r="BX103" s="175">
        <f>UseUserCal*X103*Calibration!AM103*nSD</f>
        <v>0</v>
      </c>
      <c r="BY103" s="86">
        <f>10*LOG10(($O103+NseMeas!T_0+BX103)/($O103+NseMeas!T_0))</f>
        <v>0</v>
      </c>
      <c r="BZ103" s="168">
        <f>UseUserCal*X103*Calibration!AP103*nSD</f>
        <v>0.45096991767149286</v>
      </c>
      <c r="CA103" s="86">
        <f>10*LOG10(($O103+NseMeas!T_0+BZ103)/($O103+NseMeas!T_0))</f>
        <v>2.6878157133072068E-3</v>
      </c>
      <c r="CB103" s="4">
        <f t="shared" si="184"/>
        <v>31.962127505434633</v>
      </c>
      <c r="CC103" s="86">
        <f>10*LOG10(($O103+NseMeas!T_0+CB103)/($O103+NseMeas!T_0))</f>
        <v>0.18649360544435875</v>
      </c>
    </row>
    <row r="104" spans="1:81">
      <c r="A104" s="4">
        <f t="shared" si="136"/>
        <v>26.500001000000001</v>
      </c>
      <c r="B104" s="164">
        <f>T_0*(1+10^('Meas. Noise Std'!AA105/10))</f>
        <v>1207.0605214488303</v>
      </c>
      <c r="C104" s="164">
        <f t="shared" si="142"/>
        <v>298</v>
      </c>
      <c r="D104" s="86">
        <f t="shared" si="143"/>
        <v>298</v>
      </c>
      <c r="E104" s="164">
        <f>IF(UsePreamp,T_0*(10^(Preamp!AE105/10)-1),0)</f>
        <v>627.06052144883006</v>
      </c>
      <c r="F104" s="164">
        <f>T_0*(10^((FieldFox!B104-kT0dB)/10)-1)</f>
        <v>45411.676407373438</v>
      </c>
      <c r="G104" s="86">
        <f>IF(UsePreamp,10^(Preamp!AD105/10),1)</f>
        <v>199.06734581632566</v>
      </c>
      <c r="H104" s="86">
        <f>T_0*(10^(DUT!AE105/10)-1)</f>
        <v>438.4470651377784</v>
      </c>
      <c r="I104" s="86">
        <f>10^(DUT!AD105/10)</f>
        <v>100</v>
      </c>
      <c r="J104" s="87">
        <f t="shared" si="144"/>
        <v>1.622883020530872E-6</v>
      </c>
      <c r="K104" s="87">
        <f t="shared" si="145"/>
        <v>7.3095684618375027E-7</v>
      </c>
      <c r="L104" s="87">
        <f t="shared" si="146"/>
        <v>2.2529120191543056E-9</v>
      </c>
      <c r="M104" s="87">
        <f>IF(UseUserCal,Calibration!M104,0)</f>
        <v>6.1524142648784919E-9</v>
      </c>
      <c r="N104" s="87">
        <f>IF(UseUserCal,Calibration!L104,1)</f>
        <v>199.06734581632574</v>
      </c>
      <c r="O104" s="165">
        <f t="shared" si="147"/>
        <v>438.44706513777868</v>
      </c>
      <c r="P104" s="86">
        <f t="shared" si="148"/>
        <v>99.999999999999943</v>
      </c>
      <c r="Q104" s="170">
        <f t="shared" si="149"/>
        <v>1.1843093476168496E-6</v>
      </c>
      <c r="R104" s="87">
        <f t="shared" si="150"/>
        <v>4.3018303428114972E-7</v>
      </c>
      <c r="S104" s="87">
        <f t="shared" si="151"/>
        <v>1844875354.154526</v>
      </c>
      <c r="T104" s="87">
        <f t="shared" si="152"/>
        <v>825664854.90636683</v>
      </c>
      <c r="U104" s="87">
        <f t="shared" si="153"/>
        <v>0.81010238367386822</v>
      </c>
      <c r="V104" s="87">
        <f t="shared" si="154"/>
        <v>-1.8101023836738681</v>
      </c>
      <c r="W104" s="87">
        <f t="shared" si="155"/>
        <v>5.023425594485369E-5</v>
      </c>
      <c r="X104" s="87">
        <f t="shared" si="156"/>
        <v>1019210499.2481589</v>
      </c>
      <c r="Y104" s="86">
        <f>FieldFox!AG104</f>
        <v>0.1</v>
      </c>
      <c r="Z104" s="86">
        <f>FieldFox!AF104</f>
        <v>0.1</v>
      </c>
      <c r="AA104" s="86">
        <f>FieldFox!AH104</f>
        <v>0.1</v>
      </c>
      <c r="AB104" s="87">
        <f t="shared" si="157"/>
        <v>1.3389238540091567E-3</v>
      </c>
      <c r="AC104" s="87">
        <f t="shared" si="158"/>
        <v>1.3389238540091567E-3</v>
      </c>
      <c r="AD104" s="87">
        <f t="shared" si="159"/>
        <v>1.3389238540091567E-3</v>
      </c>
      <c r="AE104" s="87">
        <f>DUT!AF105</f>
        <v>0.2</v>
      </c>
      <c r="AF104" s="4">
        <f t="shared" si="160"/>
        <v>0.40853898265363492</v>
      </c>
      <c r="AG104" s="4">
        <f>'Meas. Noise Std'!AC105</f>
        <v>0.1</v>
      </c>
      <c r="AH104" s="4">
        <f>'Meas. Noise Std'!AD105</f>
        <v>1</v>
      </c>
      <c r="AI104" s="4">
        <f>DUT!AH105</f>
        <v>0</v>
      </c>
      <c r="AJ104" s="166">
        <f t="shared" si="161"/>
        <v>1.6341559306145403E-2</v>
      </c>
      <c r="AK104" s="166">
        <f t="shared" si="162"/>
        <v>0</v>
      </c>
      <c r="AL104" s="163">
        <f t="shared" si="137"/>
        <v>1.6341559306145403E-2</v>
      </c>
      <c r="AM104" s="4">
        <f t="shared" si="163"/>
        <v>0</v>
      </c>
      <c r="AN104" s="4">
        <f>DUT!AG105</f>
        <v>0.31622776601683794</v>
      </c>
      <c r="AO104" s="4">
        <f>IF(AND(UsePreamp,UseUserCal),Preamp!AF105,0)</f>
        <v>0.3981071705534972</v>
      </c>
      <c r="AP104" s="4">
        <f t="shared" si="164"/>
        <v>0.40853898265363492</v>
      </c>
      <c r="AQ104" s="88">
        <f t="shared" si="165"/>
        <v>1.8055713134491684</v>
      </c>
      <c r="AR104" s="88">
        <f t="shared" si="166"/>
        <v>0</v>
      </c>
      <c r="AS104" s="88">
        <f t="shared" si="138"/>
        <v>1.8055713134491684</v>
      </c>
      <c r="AT104" s="88">
        <f t="shared" si="167"/>
        <v>1.794101024863485</v>
      </c>
      <c r="AU104" s="88">
        <f t="shared" si="168"/>
        <v>15.979472932539238</v>
      </c>
      <c r="AV104" s="88">
        <f t="shared" si="139"/>
        <v>16.079874181384952</v>
      </c>
      <c r="AW104" s="88">
        <f>X104*Calibration!AT104*UseUserCal</f>
        <v>0.22843099786841564</v>
      </c>
      <c r="AX104" s="88">
        <f t="shared" si="169"/>
        <v>3.0744256849308269E-3</v>
      </c>
      <c r="AY104" s="167">
        <f t="shared" si="140"/>
        <v>0.22845168609675937</v>
      </c>
      <c r="AZ104" s="88">
        <f>U104*B104*(10^('Meas. Noise Std'!AB105/(ENRconf*10))-1)</f>
        <v>11.322883725670046</v>
      </c>
      <c r="BA104" s="88">
        <f t="shared" si="170"/>
        <v>0</v>
      </c>
      <c r="BB104" s="88">
        <f t="shared" si="171"/>
        <v>0</v>
      </c>
      <c r="BC104" s="88">
        <f t="shared" si="141"/>
        <v>0</v>
      </c>
      <c r="BD104" s="88">
        <f t="shared" si="172"/>
        <v>19.750501955521155</v>
      </c>
      <c r="BE104" s="4">
        <f t="shared" si="173"/>
        <v>39.501003911042311</v>
      </c>
      <c r="BF104" s="4">
        <f t="shared" si="174"/>
        <v>0.22933854830366102</v>
      </c>
      <c r="BG104" s="88">
        <f t="shared" si="175"/>
        <v>477.94806904882097</v>
      </c>
      <c r="BH104" s="88">
        <f t="shared" si="176"/>
        <v>398.94606122673639</v>
      </c>
      <c r="BI104" s="86">
        <f t="shared" si="177"/>
        <v>5.0907349989800315</v>
      </c>
      <c r="BJ104" s="86">
        <f>10*LOG10(($O104+NseMeas!T_0+BI104)/($O104+NseMeas!T_0))</f>
        <v>3.0245006045761878E-2</v>
      </c>
      <c r="BK104" s="86">
        <f t="shared" si="178"/>
        <v>31.958945865078476</v>
      </c>
      <c r="BL104" s="86">
        <f>10*LOG10(($O104+NseMeas!T_0+BK104)/($O104+NseMeas!T_0))</f>
        <v>0.18647543402094358</v>
      </c>
      <c r="BM104" s="86">
        <f t="shared" si="179"/>
        <v>22.645767451340092</v>
      </c>
      <c r="BN104" s="86">
        <f>10*LOG10(($O104+NseMeas!T_0+BM104)/($O104+NseMeas!T_0))</f>
        <v>0.13295619783758311</v>
      </c>
      <c r="BO104" s="86">
        <f t="shared" si="180"/>
        <v>0.45686199573683128</v>
      </c>
      <c r="BP104" s="86">
        <f>10*LOG10(($O104+NseMeas!T_0+BO104)/($O104+NseMeas!T_0))</f>
        <v>2.7229219493682755E-3</v>
      </c>
      <c r="BQ104" s="86">
        <f t="shared" si="181"/>
        <v>0</v>
      </c>
      <c r="BR104" s="86">
        <f>10*LOG10(($O104+NseMeas!T_0+BQ104)/($O104+NseMeas!T_0))</f>
        <v>0</v>
      </c>
      <c r="BT104" s="86">
        <f t="shared" si="182"/>
        <v>0</v>
      </c>
      <c r="BU104" s="86">
        <f>10*LOG10(($O104+NseMeas!T_0+BT104)/($O104+NseMeas!T_0))</f>
        <v>0</v>
      </c>
      <c r="BV104" s="86">
        <f t="shared" si="183"/>
        <v>31.958945865078476</v>
      </c>
      <c r="BW104" s="86">
        <f>10*LOG10(($O104+NseMeas!T_0+BV104)/($O104+NseMeas!T_0))</f>
        <v>0.18647543402094358</v>
      </c>
      <c r="BX104" s="175">
        <f>UseUserCal*X104*Calibration!AM104*nSD</f>
        <v>0</v>
      </c>
      <c r="BY104" s="86">
        <f>10*LOG10(($O104+NseMeas!T_0+BX104)/($O104+NseMeas!T_0))</f>
        <v>0</v>
      </c>
      <c r="BZ104" s="168">
        <f>UseUserCal*X104*Calibration!AP104*nSD</f>
        <v>0.45096991767149286</v>
      </c>
      <c r="CA104" s="86">
        <f>10*LOG10(($O104+NseMeas!T_0+BZ104)/($O104+NseMeas!T_0))</f>
        <v>2.6878157133072068E-3</v>
      </c>
      <c r="CB104" s="4">
        <f t="shared" si="184"/>
        <v>31.962127505434633</v>
      </c>
      <c r="CC104" s="86">
        <f>10*LOG10(($O104+NseMeas!T_0+CB104)/($O104+NseMeas!T_0))</f>
        <v>0.18649360544435875</v>
      </c>
    </row>
    <row r="105" spans="1:81">
      <c r="A105" s="4">
        <f t="shared" si="136"/>
        <v>26.500001000000001</v>
      </c>
      <c r="B105" s="164">
        <f>T_0*(1+10^('Meas. Noise Std'!AA106/10))</f>
        <v>1207.0605214488303</v>
      </c>
      <c r="C105" s="164">
        <f t="shared" si="142"/>
        <v>298</v>
      </c>
      <c r="D105" s="86">
        <f t="shared" si="143"/>
        <v>298</v>
      </c>
      <c r="E105" s="164">
        <f>IF(UsePreamp,T_0*(10^(Preamp!AE106/10)-1),0)</f>
        <v>627.06052144883006</v>
      </c>
      <c r="F105" s="164">
        <f>T_0*(10^((FieldFox!B105-kT0dB)/10)-1)</f>
        <v>45411.676407373438</v>
      </c>
      <c r="G105" s="86">
        <f>IF(UsePreamp,10^(Preamp!AD106/10),1)</f>
        <v>199.06734581632566</v>
      </c>
      <c r="H105" s="86">
        <f>T_0*(10^(DUT!AE106/10)-1)</f>
        <v>438.4470651377784</v>
      </c>
      <c r="I105" s="86">
        <f>10^(DUT!AD106/10)</f>
        <v>100</v>
      </c>
      <c r="J105" s="87">
        <f t="shared" si="144"/>
        <v>1.622883020530872E-6</v>
      </c>
      <c r="K105" s="87">
        <f t="shared" si="145"/>
        <v>7.3095684618375027E-7</v>
      </c>
      <c r="L105" s="87">
        <f t="shared" si="146"/>
        <v>2.2529120191543056E-9</v>
      </c>
      <c r="M105" s="87">
        <f>IF(UseUserCal,Calibration!M105,0)</f>
        <v>6.1524142648784919E-9</v>
      </c>
      <c r="N105" s="87">
        <f>IF(UseUserCal,Calibration!L105,1)</f>
        <v>199.06734581632574</v>
      </c>
      <c r="O105" s="165">
        <f t="shared" si="147"/>
        <v>438.44706513777868</v>
      </c>
      <c r="P105" s="86">
        <f t="shared" si="148"/>
        <v>99.999999999999943</v>
      </c>
      <c r="Q105" s="170">
        <f t="shared" si="149"/>
        <v>1.1843093476168496E-6</v>
      </c>
      <c r="R105" s="87">
        <f t="shared" si="150"/>
        <v>4.3018303428114972E-7</v>
      </c>
      <c r="S105" s="87">
        <f t="shared" si="151"/>
        <v>1844875354.154526</v>
      </c>
      <c r="T105" s="87">
        <f t="shared" si="152"/>
        <v>825664854.90636683</v>
      </c>
      <c r="U105" s="87">
        <f t="shared" si="153"/>
        <v>0.81010238367386822</v>
      </c>
      <c r="V105" s="87">
        <f t="shared" si="154"/>
        <v>-1.8101023836738681</v>
      </c>
      <c r="W105" s="87">
        <f t="shared" si="155"/>
        <v>5.023425594485369E-5</v>
      </c>
      <c r="X105" s="87">
        <f t="shared" si="156"/>
        <v>1019210499.2481589</v>
      </c>
      <c r="Y105" s="86">
        <f>FieldFox!AG105</f>
        <v>0.1</v>
      </c>
      <c r="Z105" s="86">
        <f>FieldFox!AF105</f>
        <v>0.1</v>
      </c>
      <c r="AA105" s="86">
        <f>FieldFox!AH105</f>
        <v>0.1</v>
      </c>
      <c r="AB105" s="87">
        <f t="shared" si="157"/>
        <v>1.3389238540091567E-3</v>
      </c>
      <c r="AC105" s="87">
        <f t="shared" si="158"/>
        <v>1.3389238540091567E-3</v>
      </c>
      <c r="AD105" s="87">
        <f t="shared" si="159"/>
        <v>1.3389238540091567E-3</v>
      </c>
      <c r="AE105" s="87">
        <f>DUT!AF106</f>
        <v>0.2</v>
      </c>
      <c r="AF105" s="4">
        <f t="shared" si="160"/>
        <v>0.40853898265363492</v>
      </c>
      <c r="AG105" s="4">
        <f>'Meas. Noise Std'!AC106</f>
        <v>0.1</v>
      </c>
      <c r="AH105" s="4">
        <f>'Meas. Noise Std'!AD106</f>
        <v>1</v>
      </c>
      <c r="AI105" s="4">
        <f>DUT!AH106</f>
        <v>0</v>
      </c>
      <c r="AJ105" s="166">
        <f t="shared" si="161"/>
        <v>1.6341559306145403E-2</v>
      </c>
      <c r="AK105" s="166">
        <f t="shared" si="162"/>
        <v>0</v>
      </c>
      <c r="AL105" s="163">
        <f t="shared" si="137"/>
        <v>1.6341559306145403E-2</v>
      </c>
      <c r="AM105" s="4">
        <f t="shared" si="163"/>
        <v>0</v>
      </c>
      <c r="AN105" s="4">
        <f>DUT!AG106</f>
        <v>0.31622776601683794</v>
      </c>
      <c r="AO105" s="4">
        <f>IF(AND(UsePreamp,UseUserCal),Preamp!AF106,0)</f>
        <v>0.3981071705534972</v>
      </c>
      <c r="AP105" s="4">
        <f t="shared" si="164"/>
        <v>0.40853898265363492</v>
      </c>
      <c r="AQ105" s="88">
        <f t="shared" si="165"/>
        <v>1.8055713134491684</v>
      </c>
      <c r="AR105" s="88">
        <f t="shared" si="166"/>
        <v>0</v>
      </c>
      <c r="AS105" s="88">
        <f t="shared" si="138"/>
        <v>1.8055713134491684</v>
      </c>
      <c r="AT105" s="88">
        <f t="shared" si="167"/>
        <v>1.794101024863485</v>
      </c>
      <c r="AU105" s="88">
        <f t="shared" si="168"/>
        <v>15.979472932539238</v>
      </c>
      <c r="AV105" s="88">
        <f t="shared" si="139"/>
        <v>16.079874181384952</v>
      </c>
      <c r="AW105" s="88">
        <f>X105*Calibration!AT105*UseUserCal</f>
        <v>0.22843099786841564</v>
      </c>
      <c r="AX105" s="88">
        <f t="shared" si="169"/>
        <v>3.0744256849308269E-3</v>
      </c>
      <c r="AY105" s="167">
        <f t="shared" si="140"/>
        <v>0.22845168609675937</v>
      </c>
      <c r="AZ105" s="88">
        <f>U105*B105*(10^('Meas. Noise Std'!AB106/(ENRconf*10))-1)</f>
        <v>11.322883725670046</v>
      </c>
      <c r="BA105" s="88">
        <f t="shared" si="170"/>
        <v>0</v>
      </c>
      <c r="BB105" s="88">
        <f t="shared" si="171"/>
        <v>0</v>
      </c>
      <c r="BC105" s="88">
        <f t="shared" si="141"/>
        <v>0</v>
      </c>
      <c r="BD105" s="88">
        <f t="shared" si="172"/>
        <v>19.750501955521155</v>
      </c>
      <c r="BE105" s="4">
        <f t="shared" si="173"/>
        <v>39.501003911042311</v>
      </c>
      <c r="BF105" s="4">
        <f t="shared" si="174"/>
        <v>0.22933854830366102</v>
      </c>
      <c r="BG105" s="88">
        <f t="shared" si="175"/>
        <v>477.94806904882097</v>
      </c>
      <c r="BH105" s="88">
        <f t="shared" si="176"/>
        <v>398.94606122673639</v>
      </c>
      <c r="BI105" s="86">
        <f t="shared" si="177"/>
        <v>5.0907349989800315</v>
      </c>
      <c r="BJ105" s="86">
        <f>10*LOG10(($O105+NseMeas!T_0+BI105)/($O105+NseMeas!T_0))</f>
        <v>3.0245006045761878E-2</v>
      </c>
      <c r="BK105" s="86">
        <f t="shared" si="178"/>
        <v>31.958945865078476</v>
      </c>
      <c r="BL105" s="86">
        <f>10*LOG10(($O105+NseMeas!T_0+BK105)/($O105+NseMeas!T_0))</f>
        <v>0.18647543402094358</v>
      </c>
      <c r="BM105" s="86">
        <f t="shared" si="179"/>
        <v>22.645767451340092</v>
      </c>
      <c r="BN105" s="86">
        <f>10*LOG10(($O105+NseMeas!T_0+BM105)/($O105+NseMeas!T_0))</f>
        <v>0.13295619783758311</v>
      </c>
      <c r="BO105" s="86">
        <f t="shared" si="180"/>
        <v>0.45686199573683128</v>
      </c>
      <c r="BP105" s="86">
        <f>10*LOG10(($O105+NseMeas!T_0+BO105)/($O105+NseMeas!T_0))</f>
        <v>2.7229219493682755E-3</v>
      </c>
      <c r="BQ105" s="86">
        <f t="shared" si="181"/>
        <v>0</v>
      </c>
      <c r="BR105" s="86">
        <f>10*LOG10(($O105+NseMeas!T_0+BQ105)/($O105+NseMeas!T_0))</f>
        <v>0</v>
      </c>
      <c r="BT105" s="86">
        <f t="shared" si="182"/>
        <v>0</v>
      </c>
      <c r="BU105" s="86">
        <f>10*LOG10(($O105+NseMeas!T_0+BT105)/($O105+NseMeas!T_0))</f>
        <v>0</v>
      </c>
      <c r="BV105" s="86">
        <f t="shared" si="183"/>
        <v>31.958945865078476</v>
      </c>
      <c r="BW105" s="86">
        <f>10*LOG10(($O105+NseMeas!T_0+BV105)/($O105+NseMeas!T_0))</f>
        <v>0.18647543402094358</v>
      </c>
      <c r="BX105" s="175">
        <f>UseUserCal*X105*Calibration!AM105*nSD</f>
        <v>0</v>
      </c>
      <c r="BY105" s="86">
        <f>10*LOG10(($O105+NseMeas!T_0+BX105)/($O105+NseMeas!T_0))</f>
        <v>0</v>
      </c>
      <c r="BZ105" s="168">
        <f>UseUserCal*X105*Calibration!AP105*nSD</f>
        <v>0.45096991767149286</v>
      </c>
      <c r="CA105" s="86">
        <f>10*LOG10(($O105+NseMeas!T_0+BZ105)/($O105+NseMeas!T_0))</f>
        <v>2.6878157133072068E-3</v>
      </c>
      <c r="CB105" s="4">
        <f t="shared" si="184"/>
        <v>31.962127505434633</v>
      </c>
      <c r="CC105" s="86">
        <f>10*LOG10(($O105+NseMeas!T_0+CB105)/($O105+NseMeas!T_0))</f>
        <v>0.18649360544435875</v>
      </c>
    </row>
    <row r="106" spans="1:81">
      <c r="A106" s="4">
        <f t="shared" si="136"/>
        <v>26.500001000000001</v>
      </c>
      <c r="B106" s="164">
        <f>T_0*(1+10^('Meas. Noise Std'!AA107/10))</f>
        <v>1207.0605214488303</v>
      </c>
      <c r="C106" s="164">
        <f t="shared" si="142"/>
        <v>298</v>
      </c>
      <c r="D106" s="86">
        <f t="shared" si="143"/>
        <v>298</v>
      </c>
      <c r="E106" s="164">
        <f>IF(UsePreamp,T_0*(10^(Preamp!AE107/10)-1),0)</f>
        <v>627.06052144883006</v>
      </c>
      <c r="F106" s="164">
        <f>T_0*(10^((FieldFox!B106-kT0dB)/10)-1)</f>
        <v>45411.676407373438</v>
      </c>
      <c r="G106" s="86">
        <f>IF(UsePreamp,10^(Preamp!AD107/10),1)</f>
        <v>199.06734581632566</v>
      </c>
      <c r="H106" s="86">
        <f>T_0*(10^(DUT!AE107/10)-1)</f>
        <v>438.4470651377784</v>
      </c>
      <c r="I106" s="86">
        <f>10^(DUT!AD107/10)</f>
        <v>100</v>
      </c>
      <c r="J106" s="87">
        <f t="shared" si="144"/>
        <v>1.622883020530872E-6</v>
      </c>
      <c r="K106" s="87">
        <f t="shared" si="145"/>
        <v>7.3095684618375027E-7</v>
      </c>
      <c r="L106" s="87">
        <f t="shared" si="146"/>
        <v>2.2529120191543056E-9</v>
      </c>
      <c r="M106" s="87">
        <f>IF(UseUserCal,Calibration!M106,0)</f>
        <v>6.1524142648784919E-9</v>
      </c>
      <c r="N106" s="87">
        <f>IF(UseUserCal,Calibration!L106,1)</f>
        <v>199.06734581632574</v>
      </c>
      <c r="O106" s="165">
        <f t="shared" si="147"/>
        <v>438.44706513777868</v>
      </c>
      <c r="P106" s="86">
        <f t="shared" si="148"/>
        <v>99.999999999999943</v>
      </c>
      <c r="Q106" s="170">
        <f t="shared" si="149"/>
        <v>1.1843093476168496E-6</v>
      </c>
      <c r="R106" s="87">
        <f t="shared" si="150"/>
        <v>4.3018303428114972E-7</v>
      </c>
      <c r="S106" s="87">
        <f t="shared" si="151"/>
        <v>1844875354.154526</v>
      </c>
      <c r="T106" s="87">
        <f t="shared" si="152"/>
        <v>825664854.90636683</v>
      </c>
      <c r="U106" s="87">
        <f t="shared" si="153"/>
        <v>0.81010238367386822</v>
      </c>
      <c r="V106" s="87">
        <f t="shared" si="154"/>
        <v>-1.8101023836738681</v>
      </c>
      <c r="W106" s="87">
        <f t="shared" si="155"/>
        <v>5.023425594485369E-5</v>
      </c>
      <c r="X106" s="87">
        <f t="shared" si="156"/>
        <v>1019210499.2481589</v>
      </c>
      <c r="Y106" s="86">
        <f>FieldFox!AG106</f>
        <v>0.1</v>
      </c>
      <c r="Z106" s="86">
        <f>FieldFox!AF106</f>
        <v>0.1</v>
      </c>
      <c r="AA106" s="86">
        <f>FieldFox!AH106</f>
        <v>0.1</v>
      </c>
      <c r="AB106" s="87">
        <f t="shared" si="157"/>
        <v>1.3389238540091567E-3</v>
      </c>
      <c r="AC106" s="87">
        <f t="shared" si="158"/>
        <v>1.3389238540091567E-3</v>
      </c>
      <c r="AD106" s="87">
        <f t="shared" si="159"/>
        <v>1.3389238540091567E-3</v>
      </c>
      <c r="AE106" s="87">
        <f>DUT!AF107</f>
        <v>0.2</v>
      </c>
      <c r="AF106" s="4">
        <f t="shared" si="160"/>
        <v>0.40853898265363492</v>
      </c>
      <c r="AG106" s="4">
        <f>'Meas. Noise Std'!AC107</f>
        <v>0.1</v>
      </c>
      <c r="AH106" s="4">
        <f>'Meas. Noise Std'!AD107</f>
        <v>1</v>
      </c>
      <c r="AI106" s="4">
        <f>DUT!AH107</f>
        <v>0</v>
      </c>
      <c r="AJ106" s="166">
        <f t="shared" si="161"/>
        <v>1.6341559306145403E-2</v>
      </c>
      <c r="AK106" s="166">
        <f t="shared" si="162"/>
        <v>0</v>
      </c>
      <c r="AL106" s="163">
        <f t="shared" si="137"/>
        <v>1.6341559306145403E-2</v>
      </c>
      <c r="AM106" s="4">
        <f t="shared" si="163"/>
        <v>0</v>
      </c>
      <c r="AN106" s="4">
        <f>DUT!AG107</f>
        <v>0.31622776601683794</v>
      </c>
      <c r="AO106" s="4">
        <f>IF(AND(UsePreamp,UseUserCal),Preamp!AF107,0)</f>
        <v>0.3981071705534972</v>
      </c>
      <c r="AP106" s="4">
        <f t="shared" si="164"/>
        <v>0.40853898265363492</v>
      </c>
      <c r="AQ106" s="88">
        <f t="shared" si="165"/>
        <v>1.8055713134491684</v>
      </c>
      <c r="AR106" s="88">
        <f t="shared" si="166"/>
        <v>0</v>
      </c>
      <c r="AS106" s="88">
        <f t="shared" si="138"/>
        <v>1.8055713134491684</v>
      </c>
      <c r="AT106" s="88">
        <f t="shared" si="167"/>
        <v>1.794101024863485</v>
      </c>
      <c r="AU106" s="88">
        <f t="shared" si="168"/>
        <v>15.979472932539238</v>
      </c>
      <c r="AV106" s="88">
        <f t="shared" si="139"/>
        <v>16.079874181384952</v>
      </c>
      <c r="AW106" s="88">
        <f>X106*Calibration!AT106*UseUserCal</f>
        <v>0.22843099786841564</v>
      </c>
      <c r="AX106" s="88">
        <f t="shared" si="169"/>
        <v>3.0744256849308269E-3</v>
      </c>
      <c r="AY106" s="167">
        <f t="shared" si="140"/>
        <v>0.22845168609675937</v>
      </c>
      <c r="AZ106" s="88">
        <f>U106*B106*(10^('Meas. Noise Std'!AB107/(ENRconf*10))-1)</f>
        <v>11.322883725670046</v>
      </c>
      <c r="BA106" s="88">
        <f t="shared" si="170"/>
        <v>0</v>
      </c>
      <c r="BB106" s="88">
        <f t="shared" si="171"/>
        <v>0</v>
      </c>
      <c r="BC106" s="88">
        <f t="shared" si="141"/>
        <v>0</v>
      </c>
      <c r="BD106" s="88">
        <f t="shared" si="172"/>
        <v>19.750501955521155</v>
      </c>
      <c r="BE106" s="4">
        <f t="shared" si="173"/>
        <v>39.501003911042311</v>
      </c>
      <c r="BF106" s="4">
        <f t="shared" si="174"/>
        <v>0.22933854830366102</v>
      </c>
      <c r="BG106" s="88">
        <f t="shared" si="175"/>
        <v>477.94806904882097</v>
      </c>
      <c r="BH106" s="88">
        <f t="shared" si="176"/>
        <v>398.94606122673639</v>
      </c>
      <c r="BI106" s="86">
        <f t="shared" si="177"/>
        <v>5.0907349989800315</v>
      </c>
      <c r="BJ106" s="86">
        <f>10*LOG10(($O106+NseMeas!T_0+BI106)/($O106+NseMeas!T_0))</f>
        <v>3.0245006045761878E-2</v>
      </c>
      <c r="BK106" s="86">
        <f t="shared" si="178"/>
        <v>31.958945865078476</v>
      </c>
      <c r="BL106" s="86">
        <f>10*LOG10(($O106+NseMeas!T_0+BK106)/($O106+NseMeas!T_0))</f>
        <v>0.18647543402094358</v>
      </c>
      <c r="BM106" s="86">
        <f t="shared" si="179"/>
        <v>22.645767451340092</v>
      </c>
      <c r="BN106" s="86">
        <f>10*LOG10(($O106+NseMeas!T_0+BM106)/($O106+NseMeas!T_0))</f>
        <v>0.13295619783758311</v>
      </c>
      <c r="BO106" s="86">
        <f t="shared" si="180"/>
        <v>0.45686199573683128</v>
      </c>
      <c r="BP106" s="86">
        <f>10*LOG10(($O106+NseMeas!T_0+BO106)/($O106+NseMeas!T_0))</f>
        <v>2.7229219493682755E-3</v>
      </c>
      <c r="BQ106" s="86">
        <f t="shared" si="181"/>
        <v>0</v>
      </c>
      <c r="BR106" s="86">
        <f>10*LOG10(($O106+NseMeas!T_0+BQ106)/($O106+NseMeas!T_0))</f>
        <v>0</v>
      </c>
      <c r="BT106" s="86">
        <f t="shared" si="182"/>
        <v>0</v>
      </c>
      <c r="BU106" s="86">
        <f>10*LOG10(($O106+NseMeas!T_0+BT106)/($O106+NseMeas!T_0))</f>
        <v>0</v>
      </c>
      <c r="BV106" s="86">
        <f t="shared" si="183"/>
        <v>31.958945865078476</v>
      </c>
      <c r="BW106" s="86">
        <f>10*LOG10(($O106+NseMeas!T_0+BV106)/($O106+NseMeas!T_0))</f>
        <v>0.18647543402094358</v>
      </c>
      <c r="BX106" s="175">
        <f>UseUserCal*X106*Calibration!AM106*nSD</f>
        <v>0</v>
      </c>
      <c r="BY106" s="86">
        <f>10*LOG10(($O106+NseMeas!T_0+BX106)/($O106+NseMeas!T_0))</f>
        <v>0</v>
      </c>
      <c r="BZ106" s="168">
        <f>UseUserCal*X106*Calibration!AP106*nSD</f>
        <v>0.45096991767149286</v>
      </c>
      <c r="CA106" s="86">
        <f>10*LOG10(($O106+NseMeas!T_0+BZ106)/($O106+NseMeas!T_0))</f>
        <v>2.6878157133072068E-3</v>
      </c>
      <c r="CB106" s="4">
        <f t="shared" si="184"/>
        <v>31.962127505434633</v>
      </c>
      <c r="CC106" s="86">
        <f>10*LOG10(($O106+NseMeas!T_0+CB106)/($O106+NseMeas!T_0))</f>
        <v>0.18649360544435875</v>
      </c>
    </row>
  </sheetData>
  <sheetProtection selectLockedCells="1" selectUnlockedCells="1"/>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66" operator="greaterThan" id="{246EFB7C-C869-402E-BD2C-8C0A8B440A44}">
            <xm:f>DashBoard!$K$6</xm:f>
            <x14:dxf>
              <font>
                <color theme="0"/>
              </font>
            </x14:dxf>
          </x14:cfRule>
          <xm:sqref>A5:A106</xm:sqref>
        </x14:conditionalFormatting>
        <x14:conditionalFormatting xmlns:xm="http://schemas.microsoft.com/office/excel/2006/main">
          <x14:cfRule type="expression" priority="167" id="{A3518998-9CC6-4B79-9429-F5776CE01437}">
            <xm:f>$A5&gt;DashBoard!$K$6</xm:f>
            <x14:dxf>
              <font>
                <strike val="0"/>
                <color theme="0"/>
              </font>
            </x14:dxf>
          </x14:cfRule>
          <xm:sqref>B5:CC106</xm:sqref>
        </x14:conditionalFormatting>
        <x14:conditionalFormatting xmlns:xm="http://schemas.microsoft.com/office/excel/2006/main">
          <x14:cfRule type="expression" priority="168" id="{2107E5C5-0AC7-4713-897A-A35A3ACBE799}">
            <xm:f>$A5&gt;DashBoard!$K$6</xm:f>
            <x14:dxf>
              <font>
                <color theme="0"/>
              </font>
            </x14:dxf>
          </x14:cfRule>
          <xm:sqref>BU5:BU106 BW5:BW106 BY5:BY106 CA5:CA106 CC5:CC106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W106"/>
  <sheetViews>
    <sheetView workbookViewId="0">
      <selection activeCell="I19" sqref="I19"/>
    </sheetView>
  </sheetViews>
  <sheetFormatPr defaultColWidth="8.81640625" defaultRowHeight="14.5"/>
  <cols>
    <col min="1" max="1" width="13.453125" style="2" customWidth="1"/>
    <col min="2" max="2" width="21.1796875" style="2" customWidth="1"/>
    <col min="3" max="3" width="13.7265625" style="2" customWidth="1"/>
    <col min="4" max="4" width="18.7265625" style="2" customWidth="1"/>
    <col min="5" max="5" width="22.453125" style="2" customWidth="1"/>
    <col min="6" max="6" width="16.453125" style="2" customWidth="1"/>
    <col min="7" max="14" width="22.453125" style="2" customWidth="1"/>
    <col min="15" max="16" width="24.54296875" style="2" customWidth="1"/>
    <col min="17" max="21" width="22.453125" style="2" customWidth="1"/>
    <col min="22" max="23" width="8.81640625" style="2" customWidth="1"/>
    <col min="24" max="16384" width="8.81640625" style="2"/>
  </cols>
  <sheetData>
    <row r="2" spans="1:23">
      <c r="B2" s="90">
        <f>StopFreqGHz</f>
        <v>26.5</v>
      </c>
      <c r="C2" s="90">
        <f>A16</f>
        <v>5.9080000000000013</v>
      </c>
    </row>
    <row r="3" spans="1:23">
      <c r="M3" s="2" t="s">
        <v>0</v>
      </c>
      <c r="P3" s="2" t="s">
        <v>243</v>
      </c>
      <c r="R3" s="2" t="s">
        <v>243</v>
      </c>
    </row>
    <row r="4" spans="1:23">
      <c r="A4" s="2" t="s">
        <v>5</v>
      </c>
      <c r="B4" s="2" t="str">
        <f t="shared" ref="B4:B35" si="0">CHOOSE(SelectInfoDisplay,C4,D4,E4,F4,G4,I4,J4,L4,M4,O4,Q4,K4,N4,P4,V4,W4)</f>
        <v>Preamp Gain (dB)</v>
      </c>
      <c r="C4" s="2" t="s">
        <v>166</v>
      </c>
      <c r="D4" s="2" t="s">
        <v>324</v>
      </c>
      <c r="E4" s="2" t="s">
        <v>167</v>
      </c>
      <c r="F4" s="2" t="s">
        <v>168</v>
      </c>
      <c r="G4" s="2" t="s">
        <v>325</v>
      </c>
      <c r="H4" s="2" t="s">
        <v>169</v>
      </c>
      <c r="I4" s="2" t="s">
        <v>362</v>
      </c>
      <c r="J4" s="2" t="s">
        <v>246</v>
      </c>
      <c r="K4" s="2" t="s">
        <v>247</v>
      </c>
      <c r="L4" s="2" t="s">
        <v>25</v>
      </c>
      <c r="M4" s="2" t="s">
        <v>327</v>
      </c>
      <c r="N4" s="2" t="s">
        <v>328</v>
      </c>
      <c r="O4" s="2" t="s">
        <v>329</v>
      </c>
      <c r="P4" s="2" t="s">
        <v>330</v>
      </c>
      <c r="Q4" s="2" t="s">
        <v>172</v>
      </c>
      <c r="T4" s="2" t="str">
        <f>IF(UseReverse,"Dut reverse noise factor","")</f>
        <v/>
      </c>
      <c r="U4" s="2" t="str">
        <f>IF(UseReverse,"Preamp reverse noise factor","")</f>
        <v/>
      </c>
      <c r="V4" s="2" t="s">
        <v>323</v>
      </c>
      <c r="W4" s="2" t="s">
        <v>326</v>
      </c>
    </row>
    <row r="5" spans="1:23">
      <c r="A5" s="2">
        <f>StartFreqGHz</f>
        <v>0.1</v>
      </c>
      <c r="B5" s="2">
        <f t="shared" si="0"/>
        <v>16.126000000000001</v>
      </c>
      <c r="C5" s="2">
        <f>DUT!AD6</f>
        <v>20</v>
      </c>
      <c r="D5" s="2">
        <f>DUT!AF6</f>
        <v>0.2</v>
      </c>
      <c r="E5" s="2">
        <f>Preamp!AD6</f>
        <v>16.126000000000001</v>
      </c>
      <c r="F5" s="2">
        <f>Preamp!AE6</f>
        <v>6</v>
      </c>
      <c r="G5" s="2">
        <f>Preamp!AF6</f>
        <v>0.17782794100389224</v>
      </c>
      <c r="H5" s="2">
        <f>20*LOG10(FieldFox!D5)</f>
        <v>-11.725314482894611</v>
      </c>
      <c r="I5" s="2">
        <f>FieldFox!AJ5</f>
        <v>13.48999999999999</v>
      </c>
      <c r="J5" s="2">
        <f>'Meas. Noise Std'!AA6</f>
        <v>5</v>
      </c>
      <c r="K5" s="2">
        <f>'User Cal. Noise Std'!AA6</f>
        <v>12</v>
      </c>
      <c r="L5" s="2">
        <f>'Meas. Noise Std'!AB6</f>
        <v>0.1</v>
      </c>
      <c r="M5" s="2">
        <f>'Meas. Noise Std'!AC6</f>
        <v>0.1</v>
      </c>
      <c r="N5" s="2">
        <f>'User Cal. Noise Std'!AC6</f>
        <v>0.22</v>
      </c>
      <c r="O5" s="2">
        <f>'Meas. Noise Std'!AD6</f>
        <v>1</v>
      </c>
      <c r="P5" s="2">
        <f>'User Cal. Noise Std'!AD6</f>
        <v>0.12</v>
      </c>
      <c r="Q5" s="2">
        <f>FieldFox!AI5</f>
        <v>0.30000000000000004</v>
      </c>
      <c r="T5" s="2">
        <f>DUT!AH6</f>
        <v>0</v>
      </c>
      <c r="U5" s="2">
        <f>Preamp!AH6</f>
        <v>0</v>
      </c>
      <c r="V5" s="2">
        <f>DUT!AG6</f>
        <v>0.31622776601683794</v>
      </c>
      <c r="W5" s="2">
        <f>Preamp!AG6</f>
        <v>0.12589254117941667</v>
      </c>
    </row>
    <row r="6" spans="1:23">
      <c r="A6" s="2">
        <f>MIN(StopFreqGHz+0.000001,Result!A5+FreqStep)</f>
        <v>0.628</v>
      </c>
      <c r="B6" s="2">
        <f t="shared" si="0"/>
        <v>16.263280000000002</v>
      </c>
      <c r="C6" s="2">
        <f>DUT!AD7</f>
        <v>20</v>
      </c>
      <c r="D6" s="2">
        <f>DUT!AF7</f>
        <v>0.2</v>
      </c>
      <c r="E6" s="2">
        <f>Preamp!AD7</f>
        <v>16.263280000000002</v>
      </c>
      <c r="F6" s="2">
        <f>Preamp!AE7</f>
        <v>6</v>
      </c>
      <c r="G6" s="2">
        <f>Preamp!AF7</f>
        <v>0.17782794100389224</v>
      </c>
      <c r="H6" s="2">
        <f>20*LOG10(FieldFox!D6)</f>
        <v>-11.725314482894611</v>
      </c>
      <c r="I6" s="2">
        <f>FieldFox!AJ6</f>
        <v>13.48999999999999</v>
      </c>
      <c r="J6" s="2">
        <f>'Meas. Noise Std'!AA7</f>
        <v>5</v>
      </c>
      <c r="K6" s="2">
        <f>'User Cal. Noise Std'!AA7</f>
        <v>12</v>
      </c>
      <c r="L6" s="2">
        <f>'Meas. Noise Std'!AB7</f>
        <v>0.1</v>
      </c>
      <c r="M6" s="2">
        <f>'Meas. Noise Std'!AC7</f>
        <v>0.1</v>
      </c>
      <c r="N6" s="2">
        <f>'User Cal. Noise Std'!AC7</f>
        <v>0.22</v>
      </c>
      <c r="O6" s="2">
        <f>'Meas. Noise Std'!AD7</f>
        <v>1</v>
      </c>
      <c r="P6" s="2">
        <f>'User Cal. Noise Std'!AD7</f>
        <v>0.12</v>
      </c>
      <c r="Q6" s="2">
        <f>FieldFox!AI6</f>
        <v>0.30000000000000004</v>
      </c>
      <c r="T6" s="2">
        <f>DUT!AH7</f>
        <v>0</v>
      </c>
      <c r="U6" s="2">
        <f>Preamp!AH7</f>
        <v>0</v>
      </c>
      <c r="V6" s="2">
        <f>DUT!AG7</f>
        <v>0.31622776601683794</v>
      </c>
      <c r="W6" s="2">
        <f>Preamp!AG7</f>
        <v>0.12589254117941667</v>
      </c>
    </row>
    <row r="7" spans="1:23">
      <c r="A7" s="2">
        <f>MIN(StopFreqGHz+0.000001,Result!A6+FreqStep)</f>
        <v>1.1560000000000001</v>
      </c>
      <c r="B7" s="2">
        <f t="shared" si="0"/>
        <v>16.400560000000002</v>
      </c>
      <c r="C7" s="2">
        <f>DUT!AD8</f>
        <v>20</v>
      </c>
      <c r="D7" s="2">
        <f>DUT!AF8</f>
        <v>0.2</v>
      </c>
      <c r="E7" s="2">
        <f>Preamp!AD8</f>
        <v>16.400560000000002</v>
      </c>
      <c r="F7" s="2">
        <f>Preamp!AE8</f>
        <v>6</v>
      </c>
      <c r="G7" s="2">
        <f>Preamp!AF8</f>
        <v>0.17782794100389224</v>
      </c>
      <c r="H7" s="2">
        <f>20*LOG10(FieldFox!D7)</f>
        <v>-11.725314482894611</v>
      </c>
      <c r="I7" s="2">
        <f>FieldFox!AJ7</f>
        <v>13.48999999999999</v>
      </c>
      <c r="J7" s="2">
        <f>'Meas. Noise Std'!AA8</f>
        <v>5</v>
      </c>
      <c r="K7" s="2">
        <f>'User Cal. Noise Std'!AA8</f>
        <v>12</v>
      </c>
      <c r="L7" s="2">
        <f>'Meas. Noise Std'!AB8</f>
        <v>0.1</v>
      </c>
      <c r="M7" s="2">
        <f>'Meas. Noise Std'!AC8</f>
        <v>0.1</v>
      </c>
      <c r="N7" s="2">
        <f>'User Cal. Noise Std'!AC8</f>
        <v>0.22</v>
      </c>
      <c r="O7" s="2">
        <f>'Meas. Noise Std'!AD8</f>
        <v>1</v>
      </c>
      <c r="P7" s="2">
        <f>'User Cal. Noise Std'!AD8</f>
        <v>0.12</v>
      </c>
      <c r="Q7" s="2">
        <f>FieldFox!AI7</f>
        <v>0.30000000000000004</v>
      </c>
      <c r="T7" s="2">
        <f>DUT!AH8</f>
        <v>0</v>
      </c>
      <c r="U7" s="2">
        <f>Preamp!AH8</f>
        <v>0</v>
      </c>
      <c r="V7" s="2">
        <f>DUT!AG8</f>
        <v>0.31622776601683794</v>
      </c>
      <c r="W7" s="2">
        <f>Preamp!AG8</f>
        <v>0.12589254117941667</v>
      </c>
    </row>
    <row r="8" spans="1:23">
      <c r="A8" s="2">
        <f>MIN(StopFreqGHz+0.000001,Result!A7+FreqStep)</f>
        <v>1.6840000000000002</v>
      </c>
      <c r="B8" s="2">
        <f t="shared" si="0"/>
        <v>16.537840000000003</v>
      </c>
      <c r="C8" s="2">
        <f>DUT!AD9</f>
        <v>20</v>
      </c>
      <c r="D8" s="2">
        <f>DUT!AF9</f>
        <v>0.2</v>
      </c>
      <c r="E8" s="2">
        <f>Preamp!AD9</f>
        <v>16.537840000000003</v>
      </c>
      <c r="F8" s="2">
        <f>Preamp!AE9</f>
        <v>6</v>
      </c>
      <c r="G8" s="2">
        <f>Preamp!AF9</f>
        <v>0.17782794100389224</v>
      </c>
      <c r="H8" s="2">
        <f>20*LOG10(FieldFox!D8)</f>
        <v>-11.725314482894611</v>
      </c>
      <c r="I8" s="2">
        <f>FieldFox!AJ8</f>
        <v>13.48999999999999</v>
      </c>
      <c r="J8" s="2">
        <f>'Meas. Noise Std'!AA9</f>
        <v>5</v>
      </c>
      <c r="K8" s="2">
        <f>'User Cal. Noise Std'!AA9</f>
        <v>12</v>
      </c>
      <c r="L8" s="2">
        <f>'Meas. Noise Std'!AB9</f>
        <v>0.1</v>
      </c>
      <c r="M8" s="2">
        <f>'Meas. Noise Std'!AC9</f>
        <v>0.1</v>
      </c>
      <c r="N8" s="2">
        <f>'User Cal. Noise Std'!AC9</f>
        <v>0.22</v>
      </c>
      <c r="O8" s="2">
        <f>'Meas. Noise Std'!AD9</f>
        <v>1</v>
      </c>
      <c r="P8" s="2">
        <f>'User Cal. Noise Std'!AD9</f>
        <v>0.12</v>
      </c>
      <c r="Q8" s="2">
        <f>FieldFox!AI8</f>
        <v>0.30000000000000004</v>
      </c>
      <c r="T8" s="2">
        <f>DUT!AH9</f>
        <v>0</v>
      </c>
      <c r="U8" s="2">
        <f>Preamp!AH9</f>
        <v>0</v>
      </c>
      <c r="V8" s="2">
        <f>DUT!AG9</f>
        <v>0.31622776601683794</v>
      </c>
      <c r="W8" s="2">
        <f>Preamp!AG9</f>
        <v>0.12589254117941667</v>
      </c>
    </row>
    <row r="9" spans="1:23">
      <c r="A9" s="2">
        <f>MIN(StopFreqGHz+0.000001,Result!A8+FreqStep)</f>
        <v>2.2120000000000002</v>
      </c>
      <c r="B9" s="2">
        <f t="shared" si="0"/>
        <v>16.67512</v>
      </c>
      <c r="C9" s="2">
        <f>DUT!AD10</f>
        <v>20</v>
      </c>
      <c r="D9" s="2">
        <f>DUT!AF10</f>
        <v>0.2</v>
      </c>
      <c r="E9" s="2">
        <f>Preamp!AD10</f>
        <v>16.67512</v>
      </c>
      <c r="F9" s="2">
        <f>Preamp!AE10</f>
        <v>6</v>
      </c>
      <c r="G9" s="2">
        <f>Preamp!AF10</f>
        <v>0.17782794100389224</v>
      </c>
      <c r="H9" s="2">
        <f>20*LOG10(FieldFox!D9)</f>
        <v>-11.725314482894611</v>
      </c>
      <c r="I9" s="2">
        <f>FieldFox!AJ9</f>
        <v>16.489999999999988</v>
      </c>
      <c r="J9" s="2">
        <f>'Meas. Noise Std'!AA10</f>
        <v>5</v>
      </c>
      <c r="K9" s="2">
        <f>'User Cal. Noise Std'!AA10</f>
        <v>12</v>
      </c>
      <c r="L9" s="2">
        <f>'Meas. Noise Std'!AB10</f>
        <v>0.1</v>
      </c>
      <c r="M9" s="2">
        <f>'Meas. Noise Std'!AC10</f>
        <v>0.1</v>
      </c>
      <c r="N9" s="2">
        <f>'User Cal. Noise Std'!AC10</f>
        <v>0.22</v>
      </c>
      <c r="O9" s="2">
        <f>'Meas. Noise Std'!AD10</f>
        <v>1</v>
      </c>
      <c r="P9" s="2">
        <f>'User Cal. Noise Std'!AD10</f>
        <v>0.12</v>
      </c>
      <c r="Q9" s="2">
        <f>FieldFox!AI9</f>
        <v>0.30000000000000004</v>
      </c>
      <c r="T9" s="2">
        <f>DUT!AH10</f>
        <v>0</v>
      </c>
      <c r="U9" s="2">
        <f>Preamp!AH10</f>
        <v>0</v>
      </c>
      <c r="V9" s="2">
        <f>DUT!AG10</f>
        <v>0.31622776601683794</v>
      </c>
      <c r="W9" s="2">
        <f>Preamp!AG10</f>
        <v>0.12589254117941667</v>
      </c>
    </row>
    <row r="10" spans="1:23">
      <c r="A10" s="2">
        <f>MIN(StopFreqGHz+0.000001,Result!A9+FreqStep)</f>
        <v>2.74</v>
      </c>
      <c r="B10" s="2">
        <f t="shared" si="0"/>
        <v>16.8124</v>
      </c>
      <c r="C10" s="2">
        <f>DUT!AD11</f>
        <v>20</v>
      </c>
      <c r="D10" s="2">
        <f>DUT!AF11</f>
        <v>0.2</v>
      </c>
      <c r="E10" s="2">
        <f>Preamp!AD11</f>
        <v>16.8124</v>
      </c>
      <c r="F10" s="2">
        <f>Preamp!AE11</f>
        <v>6</v>
      </c>
      <c r="G10" s="2">
        <f>Preamp!AF11</f>
        <v>0.17782794100389224</v>
      </c>
      <c r="H10" s="2">
        <f>20*LOG10(FieldFox!D10)</f>
        <v>-13.979400086720375</v>
      </c>
      <c r="I10" s="2">
        <f>FieldFox!AJ10</f>
        <v>14.48999999999999</v>
      </c>
      <c r="J10" s="2">
        <f>'Meas. Noise Std'!AA11</f>
        <v>5</v>
      </c>
      <c r="K10" s="2">
        <f>'User Cal. Noise Std'!AA11</f>
        <v>12</v>
      </c>
      <c r="L10" s="2">
        <f>'Meas. Noise Std'!AB11</f>
        <v>0.1</v>
      </c>
      <c r="M10" s="2">
        <f>'Meas. Noise Std'!AC11</f>
        <v>0.1</v>
      </c>
      <c r="N10" s="2">
        <f>'User Cal. Noise Std'!AC11</f>
        <v>0.22</v>
      </c>
      <c r="O10" s="2">
        <f>'Meas. Noise Std'!AD11</f>
        <v>1</v>
      </c>
      <c r="P10" s="2">
        <f>'User Cal. Noise Std'!AD11</f>
        <v>0.12</v>
      </c>
      <c r="Q10" s="2">
        <f>FieldFox!AI10</f>
        <v>0.30000000000000004</v>
      </c>
      <c r="T10" s="2">
        <f>DUT!AH11</f>
        <v>0</v>
      </c>
      <c r="U10" s="2">
        <f>Preamp!AH11</f>
        <v>0</v>
      </c>
      <c r="V10" s="2">
        <f>DUT!AG11</f>
        <v>0.31622776601683794</v>
      </c>
      <c r="W10" s="2">
        <f>Preamp!AG11</f>
        <v>0.12589254117941667</v>
      </c>
    </row>
    <row r="11" spans="1:23">
      <c r="A11" s="2">
        <f>MIN(StopFreqGHz+0.000001,Result!A10+FreqStep)</f>
        <v>3.2680000000000002</v>
      </c>
      <c r="B11" s="2">
        <f t="shared" si="0"/>
        <v>16.949680000000001</v>
      </c>
      <c r="C11" s="2">
        <f>DUT!AD12</f>
        <v>20</v>
      </c>
      <c r="D11" s="2">
        <f>DUT!AF12</f>
        <v>0.2</v>
      </c>
      <c r="E11" s="2">
        <f>Preamp!AD12</f>
        <v>16.949680000000001</v>
      </c>
      <c r="F11" s="2">
        <f>Preamp!AE12</f>
        <v>6</v>
      </c>
      <c r="G11" s="2">
        <f>Preamp!AF12</f>
        <v>0.17782794100389224</v>
      </c>
      <c r="H11" s="2">
        <f>20*LOG10(FieldFox!D11)</f>
        <v>-13.979400086720375</v>
      </c>
      <c r="I11" s="2">
        <f>FieldFox!AJ11</f>
        <v>14.48999999999999</v>
      </c>
      <c r="J11" s="2">
        <f>'Meas. Noise Std'!AA12</f>
        <v>5</v>
      </c>
      <c r="K11" s="2">
        <f>'User Cal. Noise Std'!AA12</f>
        <v>12</v>
      </c>
      <c r="L11" s="2">
        <f>'Meas. Noise Std'!AB12</f>
        <v>0.1</v>
      </c>
      <c r="M11" s="2">
        <f>'Meas. Noise Std'!AC12</f>
        <v>0.1</v>
      </c>
      <c r="N11" s="2">
        <f>'User Cal. Noise Std'!AC12</f>
        <v>0.22</v>
      </c>
      <c r="O11" s="2">
        <f>'Meas. Noise Std'!AD12</f>
        <v>1</v>
      </c>
      <c r="P11" s="2">
        <f>'User Cal. Noise Std'!AD12</f>
        <v>0.12</v>
      </c>
      <c r="Q11" s="2">
        <f>FieldFox!AI11</f>
        <v>0.30000000000000004</v>
      </c>
      <c r="T11" s="2">
        <f>DUT!AH12</f>
        <v>0</v>
      </c>
      <c r="U11" s="2">
        <f>Preamp!AH12</f>
        <v>0</v>
      </c>
      <c r="V11" s="2">
        <f>DUT!AG12</f>
        <v>0.31622776601683794</v>
      </c>
      <c r="W11" s="2">
        <f>Preamp!AG12</f>
        <v>0.12589254117941667</v>
      </c>
    </row>
    <row r="12" spans="1:23">
      <c r="A12" s="2">
        <f>MIN(StopFreqGHz+0.000001,Result!A11+FreqStep)</f>
        <v>3.7960000000000003</v>
      </c>
      <c r="B12" s="2">
        <f t="shared" si="0"/>
        <v>17.086960000000001</v>
      </c>
      <c r="C12" s="2">
        <f>DUT!AD13</f>
        <v>20</v>
      </c>
      <c r="D12" s="2">
        <f>DUT!AF13</f>
        <v>0.2</v>
      </c>
      <c r="E12" s="2">
        <f>Preamp!AD13</f>
        <v>17.086960000000001</v>
      </c>
      <c r="F12" s="2">
        <f>Preamp!AE13</f>
        <v>6</v>
      </c>
      <c r="G12" s="2">
        <f>Preamp!AF13</f>
        <v>0.17782794100389224</v>
      </c>
      <c r="H12" s="2">
        <f>20*LOG10(FieldFox!D12)</f>
        <v>-13.979400086720375</v>
      </c>
      <c r="I12" s="2">
        <f>FieldFox!AJ12</f>
        <v>14.48999999999999</v>
      </c>
      <c r="J12" s="2">
        <f>'Meas. Noise Std'!AA13</f>
        <v>5</v>
      </c>
      <c r="K12" s="2">
        <f>'User Cal. Noise Std'!AA13</f>
        <v>12</v>
      </c>
      <c r="L12" s="2">
        <f>'Meas. Noise Std'!AB13</f>
        <v>0.1</v>
      </c>
      <c r="M12" s="2">
        <f>'Meas. Noise Std'!AC13</f>
        <v>0.1</v>
      </c>
      <c r="N12" s="2">
        <f>'User Cal. Noise Std'!AC13</f>
        <v>0.22</v>
      </c>
      <c r="O12" s="2">
        <f>'Meas. Noise Std'!AD13</f>
        <v>1</v>
      </c>
      <c r="P12" s="2">
        <f>'User Cal. Noise Std'!AD13</f>
        <v>0.12</v>
      </c>
      <c r="Q12" s="2">
        <f>FieldFox!AI12</f>
        <v>0.30000000000000004</v>
      </c>
      <c r="T12" s="2">
        <f>DUT!AH13</f>
        <v>0</v>
      </c>
      <c r="U12" s="2">
        <f>Preamp!AH13</f>
        <v>0</v>
      </c>
      <c r="V12" s="2">
        <f>DUT!AG13</f>
        <v>0.31622776601683794</v>
      </c>
      <c r="W12" s="2">
        <f>Preamp!AG13</f>
        <v>0.12589254117941667</v>
      </c>
    </row>
    <row r="13" spans="1:23">
      <c r="A13" s="2">
        <f>MIN(StopFreqGHz+0.000001,Result!A12+FreqStep)</f>
        <v>4.3239999999999998</v>
      </c>
      <c r="B13" s="2">
        <f t="shared" si="0"/>
        <v>17.224240000000002</v>
      </c>
      <c r="C13" s="2">
        <f>DUT!AD14</f>
        <v>20</v>
      </c>
      <c r="D13" s="2">
        <f>DUT!AF14</f>
        <v>0.2</v>
      </c>
      <c r="E13" s="2">
        <f>Preamp!AD14</f>
        <v>17.224240000000002</v>
      </c>
      <c r="F13" s="2">
        <f>Preamp!AE14</f>
        <v>5</v>
      </c>
      <c r="G13" s="2">
        <f>Preamp!AF14</f>
        <v>0.3981071705534972</v>
      </c>
      <c r="H13" s="2">
        <f>20*LOG10(FieldFox!D13)</f>
        <v>-13.979400086720375</v>
      </c>
      <c r="I13" s="2">
        <f>FieldFox!AJ13</f>
        <v>14.48999999999999</v>
      </c>
      <c r="J13" s="2">
        <f>'Meas. Noise Std'!AA14</f>
        <v>5</v>
      </c>
      <c r="K13" s="2">
        <f>'User Cal. Noise Std'!AA14</f>
        <v>12</v>
      </c>
      <c r="L13" s="2">
        <f>'Meas. Noise Std'!AB14</f>
        <v>0.1</v>
      </c>
      <c r="M13" s="2">
        <f>'Meas. Noise Std'!AC14</f>
        <v>0.1</v>
      </c>
      <c r="N13" s="2">
        <f>'User Cal. Noise Std'!AC14</f>
        <v>0.22</v>
      </c>
      <c r="O13" s="2">
        <f>'Meas. Noise Std'!AD14</f>
        <v>1</v>
      </c>
      <c r="P13" s="2">
        <f>'User Cal. Noise Std'!AD14</f>
        <v>0.12</v>
      </c>
      <c r="Q13" s="2">
        <f>FieldFox!AI13</f>
        <v>0.30000000000000004</v>
      </c>
      <c r="T13" s="2">
        <f>DUT!AH14</f>
        <v>0</v>
      </c>
      <c r="U13" s="2">
        <f>Preamp!AH14</f>
        <v>0</v>
      </c>
      <c r="V13" s="2">
        <f>DUT!AG14</f>
        <v>0.31622776601683794</v>
      </c>
      <c r="W13" s="2">
        <f>Preamp!AG14</f>
        <v>0.28183829312644532</v>
      </c>
    </row>
    <row r="14" spans="1:23">
      <c r="A14" s="2">
        <f>MIN(StopFreqGHz+0.000001,Result!A13+FreqStep)</f>
        <v>4.8520000000000003</v>
      </c>
      <c r="B14" s="2">
        <f t="shared" si="0"/>
        <v>17.361520000000002</v>
      </c>
      <c r="C14" s="2">
        <f>DUT!AD15</f>
        <v>20</v>
      </c>
      <c r="D14" s="2">
        <f>DUT!AF15</f>
        <v>0.2</v>
      </c>
      <c r="E14" s="2">
        <f>Preamp!AD15</f>
        <v>17.361520000000002</v>
      </c>
      <c r="F14" s="2">
        <f>Preamp!AE15</f>
        <v>5</v>
      </c>
      <c r="G14" s="2">
        <f>Preamp!AF15</f>
        <v>0.3981071705534972</v>
      </c>
      <c r="H14" s="2">
        <f>20*LOG10(FieldFox!D14)</f>
        <v>-13.979400086720375</v>
      </c>
      <c r="I14" s="2">
        <f>FieldFox!AJ14</f>
        <v>16.489999999999988</v>
      </c>
      <c r="J14" s="2">
        <f>'Meas. Noise Std'!AA15</f>
        <v>5</v>
      </c>
      <c r="K14" s="2">
        <f>'User Cal. Noise Std'!AA15</f>
        <v>12</v>
      </c>
      <c r="L14" s="2">
        <f>'Meas. Noise Std'!AB15</f>
        <v>0.1</v>
      </c>
      <c r="M14" s="2">
        <f>'Meas. Noise Std'!AC15</f>
        <v>0.1</v>
      </c>
      <c r="N14" s="2">
        <f>'User Cal. Noise Std'!AC15</f>
        <v>0.22</v>
      </c>
      <c r="O14" s="2">
        <f>'Meas. Noise Std'!AD15</f>
        <v>1</v>
      </c>
      <c r="P14" s="2">
        <f>'User Cal. Noise Std'!AD15</f>
        <v>0.12</v>
      </c>
      <c r="Q14" s="2">
        <f>FieldFox!AI14</f>
        <v>0.30000000000000004</v>
      </c>
      <c r="T14" s="2">
        <f>DUT!AH15</f>
        <v>0</v>
      </c>
      <c r="U14" s="2">
        <f>Preamp!AH15</f>
        <v>0</v>
      </c>
      <c r="V14" s="2">
        <f>DUT!AG15</f>
        <v>0.31622776601683794</v>
      </c>
      <c r="W14" s="2">
        <f>Preamp!AG15</f>
        <v>0.28183829312644532</v>
      </c>
    </row>
    <row r="15" spans="1:23">
      <c r="A15" s="2">
        <f>MIN(StopFreqGHz+0.000001,Result!A14+FreqStep)</f>
        <v>5.3800000000000008</v>
      </c>
      <c r="B15" s="2">
        <f t="shared" si="0"/>
        <v>17.498800000000003</v>
      </c>
      <c r="C15" s="2">
        <f>DUT!AD16</f>
        <v>20</v>
      </c>
      <c r="D15" s="2">
        <f>DUT!AF16</f>
        <v>0.2</v>
      </c>
      <c r="E15" s="2">
        <f>Preamp!AD16</f>
        <v>17.498800000000003</v>
      </c>
      <c r="F15" s="2">
        <f>Preamp!AE16</f>
        <v>5</v>
      </c>
      <c r="G15" s="2">
        <f>Preamp!AF16</f>
        <v>0.3981071705534972</v>
      </c>
      <c r="H15" s="2">
        <f>20*LOG10(FieldFox!D15)</f>
        <v>-13.979400086720375</v>
      </c>
      <c r="I15" s="2">
        <f>FieldFox!AJ15</f>
        <v>16.489999999999988</v>
      </c>
      <c r="J15" s="2">
        <f>'Meas. Noise Std'!AA16</f>
        <v>5</v>
      </c>
      <c r="K15" s="2">
        <f>'User Cal. Noise Std'!AA16</f>
        <v>12</v>
      </c>
      <c r="L15" s="2">
        <f>'Meas. Noise Std'!AB16</f>
        <v>0.1</v>
      </c>
      <c r="M15" s="2">
        <f>'Meas. Noise Std'!AC16</f>
        <v>0.1</v>
      </c>
      <c r="N15" s="2">
        <f>'User Cal. Noise Std'!AC16</f>
        <v>0.22</v>
      </c>
      <c r="O15" s="2">
        <f>'Meas. Noise Std'!AD16</f>
        <v>1</v>
      </c>
      <c r="P15" s="2">
        <f>'User Cal. Noise Std'!AD16</f>
        <v>0.12</v>
      </c>
      <c r="Q15" s="2">
        <f>FieldFox!AI15</f>
        <v>0.30000000000000004</v>
      </c>
      <c r="T15" s="2">
        <f>DUT!AH16</f>
        <v>0</v>
      </c>
      <c r="U15" s="2">
        <f>Preamp!AH16</f>
        <v>0</v>
      </c>
      <c r="V15" s="2">
        <f>DUT!AG16</f>
        <v>0.31622776601683794</v>
      </c>
      <c r="W15" s="2">
        <f>Preamp!AG16</f>
        <v>0.28183829312644532</v>
      </c>
    </row>
    <row r="16" spans="1:23">
      <c r="A16" s="2">
        <f>MIN(StopFreqGHz+0.000001,Result!A15+FreqStep)</f>
        <v>5.9080000000000013</v>
      </c>
      <c r="B16" s="2">
        <f t="shared" si="0"/>
        <v>17.636080000000003</v>
      </c>
      <c r="C16" s="2">
        <f>DUT!AD17</f>
        <v>20</v>
      </c>
      <c r="D16" s="2">
        <f>DUT!AF17</f>
        <v>0.2</v>
      </c>
      <c r="E16" s="2">
        <f>Preamp!AD17</f>
        <v>17.636080000000003</v>
      </c>
      <c r="F16" s="2">
        <f>Preamp!AE17</f>
        <v>5</v>
      </c>
      <c r="G16" s="2">
        <f>Preamp!AF17</f>
        <v>0.3981071705534972</v>
      </c>
      <c r="H16" s="2">
        <f>20*LOG10(FieldFox!D16)</f>
        <v>-13.979400086720375</v>
      </c>
      <c r="I16" s="2">
        <f>FieldFox!AJ16</f>
        <v>16.489999999999988</v>
      </c>
      <c r="J16" s="2">
        <f>'Meas. Noise Std'!AA17</f>
        <v>5</v>
      </c>
      <c r="K16" s="2">
        <f>'User Cal. Noise Std'!AA17</f>
        <v>12</v>
      </c>
      <c r="L16" s="2">
        <f>'Meas. Noise Std'!AB17</f>
        <v>0.1</v>
      </c>
      <c r="M16" s="2">
        <f>'Meas. Noise Std'!AC17</f>
        <v>0.1</v>
      </c>
      <c r="N16" s="2">
        <f>'User Cal. Noise Std'!AC17</f>
        <v>0.22</v>
      </c>
      <c r="O16" s="2">
        <f>'Meas. Noise Std'!AD17</f>
        <v>1</v>
      </c>
      <c r="P16" s="2">
        <f>'User Cal. Noise Std'!AD17</f>
        <v>0.12</v>
      </c>
      <c r="Q16" s="2">
        <f>FieldFox!AI16</f>
        <v>0.30000000000000004</v>
      </c>
      <c r="T16" s="2">
        <f>DUT!AH17</f>
        <v>0</v>
      </c>
      <c r="U16" s="2">
        <f>Preamp!AH17</f>
        <v>0</v>
      </c>
      <c r="V16" s="2">
        <f>DUT!AG17</f>
        <v>0.31622776601683794</v>
      </c>
      <c r="W16" s="2">
        <f>Preamp!AG17</f>
        <v>0.28183829312644532</v>
      </c>
    </row>
    <row r="17" spans="1:23">
      <c r="A17" s="2">
        <f>MIN(StopFreqGHz+0.000001,Result!A16+FreqStep)</f>
        <v>6.4360000000000017</v>
      </c>
      <c r="B17" s="2">
        <f t="shared" si="0"/>
        <v>17.77336</v>
      </c>
      <c r="C17" s="2">
        <f>DUT!AD18</f>
        <v>20</v>
      </c>
      <c r="D17" s="2">
        <f>DUT!AF18</f>
        <v>0.2</v>
      </c>
      <c r="E17" s="2">
        <f>Preamp!AD18</f>
        <v>17.77336</v>
      </c>
      <c r="F17" s="2">
        <f>Preamp!AE18</f>
        <v>4</v>
      </c>
      <c r="G17" s="2">
        <f>Preamp!AF18</f>
        <v>0.3981071705534972</v>
      </c>
      <c r="H17" s="2">
        <f>20*LOG10(FieldFox!D17)</f>
        <v>-13.979400086720375</v>
      </c>
      <c r="I17" s="2">
        <f>FieldFox!AJ17</f>
        <v>16.489999999999988</v>
      </c>
      <c r="J17" s="2">
        <f>'Meas. Noise Std'!AA18</f>
        <v>5</v>
      </c>
      <c r="K17" s="2">
        <f>'User Cal. Noise Std'!AA18</f>
        <v>12</v>
      </c>
      <c r="L17" s="2">
        <f>'Meas. Noise Std'!AB18</f>
        <v>0.1</v>
      </c>
      <c r="M17" s="2">
        <f>'Meas. Noise Std'!AC18</f>
        <v>0.1</v>
      </c>
      <c r="N17" s="2">
        <f>'User Cal. Noise Std'!AC18</f>
        <v>0.22</v>
      </c>
      <c r="O17" s="2">
        <f>'Meas. Noise Std'!AD18</f>
        <v>1</v>
      </c>
      <c r="P17" s="2">
        <f>'User Cal. Noise Std'!AD18</f>
        <v>0.12</v>
      </c>
      <c r="Q17" s="2">
        <f>FieldFox!AI17</f>
        <v>0.30000000000000004</v>
      </c>
      <c r="T17" s="2">
        <f>DUT!AH18</f>
        <v>0</v>
      </c>
      <c r="U17" s="2">
        <f>Preamp!AH18</f>
        <v>0</v>
      </c>
      <c r="V17" s="2">
        <f>DUT!AG18</f>
        <v>0.31622776601683794</v>
      </c>
      <c r="W17" s="2">
        <f>Preamp!AG18</f>
        <v>0.28183829312644532</v>
      </c>
    </row>
    <row r="18" spans="1:23">
      <c r="A18" s="2">
        <f>MIN(StopFreqGHz+0.000001,Result!A17+FreqStep)</f>
        <v>6.9640000000000022</v>
      </c>
      <c r="B18" s="2">
        <f t="shared" si="0"/>
        <v>17.910640000000001</v>
      </c>
      <c r="C18" s="2">
        <f>DUT!AD19</f>
        <v>20</v>
      </c>
      <c r="D18" s="2">
        <f>DUT!AF19</f>
        <v>0.2</v>
      </c>
      <c r="E18" s="2">
        <f>Preamp!AD19</f>
        <v>17.910640000000001</v>
      </c>
      <c r="F18" s="2">
        <f>Preamp!AE19</f>
        <v>4</v>
      </c>
      <c r="G18" s="2">
        <f>Preamp!AF19</f>
        <v>0.3981071705534972</v>
      </c>
      <c r="H18" s="2">
        <f>20*LOG10(FieldFox!D18)</f>
        <v>-13.979400086720375</v>
      </c>
      <c r="I18" s="2">
        <f>FieldFox!AJ18</f>
        <v>16.489999999999988</v>
      </c>
      <c r="J18" s="2">
        <f>'Meas. Noise Std'!AA19</f>
        <v>5</v>
      </c>
      <c r="K18" s="2">
        <f>'User Cal. Noise Std'!AA19</f>
        <v>12</v>
      </c>
      <c r="L18" s="2">
        <f>'Meas. Noise Std'!AB19</f>
        <v>0.1</v>
      </c>
      <c r="M18" s="2">
        <f>'Meas. Noise Std'!AC19</f>
        <v>0.1</v>
      </c>
      <c r="N18" s="2">
        <f>'User Cal. Noise Std'!AC19</f>
        <v>0.22</v>
      </c>
      <c r="O18" s="2">
        <f>'Meas. Noise Std'!AD19</f>
        <v>1</v>
      </c>
      <c r="P18" s="2">
        <f>'User Cal. Noise Std'!AD19</f>
        <v>0.12</v>
      </c>
      <c r="Q18" s="2">
        <f>FieldFox!AI18</f>
        <v>0.30000000000000004</v>
      </c>
      <c r="T18" s="2">
        <f>DUT!AH19</f>
        <v>0</v>
      </c>
      <c r="U18" s="2">
        <f>Preamp!AH19</f>
        <v>0</v>
      </c>
      <c r="V18" s="2">
        <f>DUT!AG19</f>
        <v>0.31622776601683794</v>
      </c>
      <c r="W18" s="2">
        <f>Preamp!AG19</f>
        <v>0.28183829312644532</v>
      </c>
    </row>
    <row r="19" spans="1:23">
      <c r="A19" s="2">
        <f>MIN(StopFreqGHz+0.000001,Result!A18+FreqStep)</f>
        <v>7.4920000000000027</v>
      </c>
      <c r="B19" s="2">
        <f t="shared" si="0"/>
        <v>18.047920000000001</v>
      </c>
      <c r="C19" s="2">
        <f>DUT!AD20</f>
        <v>20</v>
      </c>
      <c r="D19" s="2">
        <f>DUT!AF20</f>
        <v>0.2</v>
      </c>
      <c r="E19" s="2">
        <f>Preamp!AD20</f>
        <v>18.047920000000001</v>
      </c>
      <c r="F19" s="2">
        <f>Preamp!AE20</f>
        <v>4</v>
      </c>
      <c r="G19" s="2">
        <f>Preamp!AF20</f>
        <v>0.3981071705534972</v>
      </c>
      <c r="H19" s="2">
        <f>20*LOG10(FieldFox!D19)</f>
        <v>-13.979400086720375</v>
      </c>
      <c r="I19" s="2">
        <f>FieldFox!AJ19</f>
        <v>16.489999999999988</v>
      </c>
      <c r="J19" s="2">
        <f>'Meas. Noise Std'!AA20</f>
        <v>5</v>
      </c>
      <c r="K19" s="2">
        <f>'User Cal. Noise Std'!AA20</f>
        <v>12</v>
      </c>
      <c r="L19" s="2">
        <f>'Meas. Noise Std'!AB20</f>
        <v>0.1</v>
      </c>
      <c r="M19" s="2">
        <f>'Meas. Noise Std'!AC20</f>
        <v>0.1</v>
      </c>
      <c r="N19" s="2">
        <f>'User Cal. Noise Std'!AC20</f>
        <v>0.22</v>
      </c>
      <c r="O19" s="2">
        <f>'Meas. Noise Std'!AD20</f>
        <v>1</v>
      </c>
      <c r="P19" s="2">
        <f>'User Cal. Noise Std'!AD20</f>
        <v>0.12</v>
      </c>
      <c r="Q19" s="2">
        <f>FieldFox!AI19</f>
        <v>0.30000000000000004</v>
      </c>
      <c r="T19" s="2">
        <f>DUT!AH20</f>
        <v>0</v>
      </c>
      <c r="U19" s="2">
        <f>Preamp!AH20</f>
        <v>0</v>
      </c>
      <c r="V19" s="2">
        <f>DUT!AG20</f>
        <v>0.31622776601683794</v>
      </c>
      <c r="W19" s="2">
        <f>Preamp!AG20</f>
        <v>0.28183829312644532</v>
      </c>
    </row>
    <row r="20" spans="1:23">
      <c r="A20" s="2">
        <f>MIN(StopFreqGHz+0.000001,Result!A19+FreqStep)</f>
        <v>8.0200000000000031</v>
      </c>
      <c r="B20" s="2">
        <f t="shared" si="0"/>
        <v>18.185200000000002</v>
      </c>
      <c r="C20" s="2">
        <f>DUT!AD21</f>
        <v>20</v>
      </c>
      <c r="D20" s="2">
        <f>DUT!AF21</f>
        <v>0.2</v>
      </c>
      <c r="E20" s="2">
        <f>Preamp!AD21</f>
        <v>18.185200000000002</v>
      </c>
      <c r="F20" s="2">
        <f>Preamp!AE21</f>
        <v>4</v>
      </c>
      <c r="G20" s="2">
        <f>Preamp!AF21</f>
        <v>0.3981071705534972</v>
      </c>
      <c r="H20" s="2">
        <f>20*LOG10(FieldFox!D20)</f>
        <v>-9.5424250943932485</v>
      </c>
      <c r="I20" s="2">
        <f>FieldFox!AJ20</f>
        <v>15.48999999999999</v>
      </c>
      <c r="J20" s="2">
        <f>'Meas. Noise Std'!AA21</f>
        <v>5</v>
      </c>
      <c r="K20" s="2">
        <f>'User Cal. Noise Std'!AA21</f>
        <v>12</v>
      </c>
      <c r="L20" s="2">
        <f>'Meas. Noise Std'!AB21</f>
        <v>0.1</v>
      </c>
      <c r="M20" s="2">
        <f>'Meas. Noise Std'!AC21</f>
        <v>0.1</v>
      </c>
      <c r="N20" s="2">
        <f>'User Cal. Noise Std'!AC21</f>
        <v>0.22</v>
      </c>
      <c r="O20" s="2">
        <f>'Meas. Noise Std'!AD21</f>
        <v>1</v>
      </c>
      <c r="P20" s="2">
        <f>'User Cal. Noise Std'!AD21</f>
        <v>0.12</v>
      </c>
      <c r="Q20" s="2">
        <f>FieldFox!AI20</f>
        <v>0.30000000000000004</v>
      </c>
      <c r="T20" s="2">
        <f>DUT!AH21</f>
        <v>0</v>
      </c>
      <c r="U20" s="2">
        <f>Preamp!AH21</f>
        <v>0</v>
      </c>
      <c r="V20" s="2">
        <f>DUT!AG21</f>
        <v>0.31622776601683794</v>
      </c>
      <c r="W20" s="2">
        <f>Preamp!AG21</f>
        <v>0.28183829312644532</v>
      </c>
    </row>
    <row r="21" spans="1:23">
      <c r="A21" s="2">
        <f>MIN(StopFreqGHz+0.000001,Result!A20+FreqStep)</f>
        <v>8.5480000000000036</v>
      </c>
      <c r="B21" s="2">
        <f t="shared" si="0"/>
        <v>18.322480000000002</v>
      </c>
      <c r="C21" s="2">
        <f>DUT!AD22</f>
        <v>20</v>
      </c>
      <c r="D21" s="2">
        <f>DUT!AF22</f>
        <v>0.2</v>
      </c>
      <c r="E21" s="2">
        <f>Preamp!AD22</f>
        <v>18.322480000000002</v>
      </c>
      <c r="F21" s="2">
        <f>Preamp!AE22</f>
        <v>4</v>
      </c>
      <c r="G21" s="2">
        <f>Preamp!AF22</f>
        <v>0.3981071705534972</v>
      </c>
      <c r="H21" s="2">
        <f>20*LOG10(FieldFox!D21)</f>
        <v>-9.5424250943932485</v>
      </c>
      <c r="I21" s="2">
        <f>FieldFox!AJ21</f>
        <v>15.48999999999999</v>
      </c>
      <c r="J21" s="2">
        <f>'Meas. Noise Std'!AA22</f>
        <v>5</v>
      </c>
      <c r="K21" s="2">
        <f>'User Cal. Noise Std'!AA22</f>
        <v>12</v>
      </c>
      <c r="L21" s="2">
        <f>'Meas. Noise Std'!AB22</f>
        <v>0.1</v>
      </c>
      <c r="M21" s="2">
        <f>'Meas. Noise Std'!AC22</f>
        <v>0.1</v>
      </c>
      <c r="N21" s="2">
        <f>'User Cal. Noise Std'!AC22</f>
        <v>0.22</v>
      </c>
      <c r="O21" s="2">
        <f>'Meas. Noise Std'!AD22</f>
        <v>1</v>
      </c>
      <c r="P21" s="2">
        <f>'User Cal. Noise Std'!AD22</f>
        <v>0.12</v>
      </c>
      <c r="Q21" s="2">
        <f>FieldFox!AI21</f>
        <v>0.30000000000000004</v>
      </c>
      <c r="T21" s="2">
        <f>DUT!AH22</f>
        <v>0</v>
      </c>
      <c r="U21" s="2">
        <f>Preamp!AH22</f>
        <v>0</v>
      </c>
      <c r="V21" s="2">
        <f>DUT!AG22</f>
        <v>0.31622776601683794</v>
      </c>
      <c r="W21" s="2">
        <f>Preamp!AG22</f>
        <v>0.28183829312644532</v>
      </c>
    </row>
    <row r="22" spans="1:23">
      <c r="A22" s="2">
        <f>MIN(StopFreqGHz+0.000001,Result!A21+FreqStep)</f>
        <v>9.0760000000000041</v>
      </c>
      <c r="B22" s="2">
        <f t="shared" si="0"/>
        <v>18.459760000000003</v>
      </c>
      <c r="C22" s="2">
        <f>DUT!AD23</f>
        <v>20</v>
      </c>
      <c r="D22" s="2">
        <f>DUT!AF23</f>
        <v>0.2</v>
      </c>
      <c r="E22" s="2">
        <f>Preamp!AD23</f>
        <v>18.459760000000003</v>
      </c>
      <c r="F22" s="2">
        <f>Preamp!AE23</f>
        <v>4</v>
      </c>
      <c r="G22" s="2">
        <f>Preamp!AF23</f>
        <v>0.3981071705534972</v>
      </c>
      <c r="H22" s="2">
        <f>20*LOG10(FieldFox!D22)</f>
        <v>-9.5424250943932485</v>
      </c>
      <c r="I22" s="2">
        <f>FieldFox!AJ22</f>
        <v>15.48999999999999</v>
      </c>
      <c r="J22" s="2">
        <f>'Meas. Noise Std'!AA23</f>
        <v>5</v>
      </c>
      <c r="K22" s="2">
        <f>'User Cal. Noise Std'!AA23</f>
        <v>12</v>
      </c>
      <c r="L22" s="2">
        <f>'Meas. Noise Std'!AB23</f>
        <v>0.1</v>
      </c>
      <c r="M22" s="2">
        <f>'Meas. Noise Std'!AC23</f>
        <v>0.1</v>
      </c>
      <c r="N22" s="2">
        <f>'User Cal. Noise Std'!AC23</f>
        <v>0.22</v>
      </c>
      <c r="O22" s="2">
        <f>'Meas. Noise Std'!AD23</f>
        <v>1</v>
      </c>
      <c r="P22" s="2">
        <f>'User Cal. Noise Std'!AD23</f>
        <v>0.12</v>
      </c>
      <c r="Q22" s="2">
        <f>FieldFox!AI22</f>
        <v>0.30000000000000004</v>
      </c>
      <c r="T22" s="2">
        <f>DUT!AH23</f>
        <v>0</v>
      </c>
      <c r="U22" s="2">
        <f>Preamp!AH23</f>
        <v>0</v>
      </c>
      <c r="V22" s="2">
        <f>DUT!AG23</f>
        <v>0.31622776601683794</v>
      </c>
      <c r="W22" s="2">
        <f>Preamp!AG23</f>
        <v>0.28183829312644532</v>
      </c>
    </row>
    <row r="23" spans="1:23">
      <c r="A23" s="2">
        <f>MIN(StopFreqGHz+0.000001,Result!A22+FreqStep)</f>
        <v>9.6040000000000045</v>
      </c>
      <c r="B23" s="2">
        <f t="shared" si="0"/>
        <v>18.597040000000003</v>
      </c>
      <c r="C23" s="2">
        <f>DUT!AD24</f>
        <v>20</v>
      </c>
      <c r="D23" s="2">
        <f>DUT!AF24</f>
        <v>0.2</v>
      </c>
      <c r="E23" s="2">
        <f>Preamp!AD24</f>
        <v>18.597040000000003</v>
      </c>
      <c r="F23" s="2">
        <f>Preamp!AE24</f>
        <v>4</v>
      </c>
      <c r="G23" s="2">
        <f>Preamp!AF24</f>
        <v>0.3981071705534972</v>
      </c>
      <c r="H23" s="2">
        <f>20*LOG10(FieldFox!D23)</f>
        <v>-9.5424250943932485</v>
      </c>
      <c r="I23" s="2">
        <f>FieldFox!AJ23</f>
        <v>15.48999999999999</v>
      </c>
      <c r="J23" s="2">
        <f>'Meas. Noise Std'!AA24</f>
        <v>5</v>
      </c>
      <c r="K23" s="2">
        <f>'User Cal. Noise Std'!AA24</f>
        <v>12</v>
      </c>
      <c r="L23" s="2">
        <f>'Meas. Noise Std'!AB24</f>
        <v>0.1</v>
      </c>
      <c r="M23" s="2">
        <f>'Meas. Noise Std'!AC24</f>
        <v>0.1</v>
      </c>
      <c r="N23" s="2">
        <f>'User Cal. Noise Std'!AC24</f>
        <v>0.22</v>
      </c>
      <c r="O23" s="2">
        <f>'Meas. Noise Std'!AD24</f>
        <v>1</v>
      </c>
      <c r="P23" s="2">
        <f>'User Cal. Noise Std'!AD24</f>
        <v>0.12</v>
      </c>
      <c r="Q23" s="2">
        <f>FieldFox!AI23</f>
        <v>0.30000000000000004</v>
      </c>
      <c r="T23" s="2">
        <f>DUT!AH24</f>
        <v>0</v>
      </c>
      <c r="U23" s="2">
        <f>Preamp!AH24</f>
        <v>0</v>
      </c>
      <c r="V23" s="2">
        <f>DUT!AG24</f>
        <v>0.31622776601683794</v>
      </c>
      <c r="W23" s="2">
        <f>Preamp!AG24</f>
        <v>0.28183829312644532</v>
      </c>
    </row>
    <row r="24" spans="1:23">
      <c r="A24" s="2">
        <f>MIN(StopFreqGHz+0.000001,Result!A23+FreqStep)</f>
        <v>10.132000000000005</v>
      </c>
      <c r="B24" s="2">
        <f t="shared" si="0"/>
        <v>18.734320000000004</v>
      </c>
      <c r="C24" s="2">
        <f>DUT!AD25</f>
        <v>20</v>
      </c>
      <c r="D24" s="2">
        <f>DUT!AF25</f>
        <v>0.2</v>
      </c>
      <c r="E24" s="2">
        <f>Preamp!AD25</f>
        <v>18.734320000000004</v>
      </c>
      <c r="F24" s="2">
        <f>Preamp!AE25</f>
        <v>4</v>
      </c>
      <c r="G24" s="2">
        <f>Preamp!AF25</f>
        <v>0.3981071705534972</v>
      </c>
      <c r="H24" s="2">
        <f>20*LOG10(FieldFox!D24)</f>
        <v>-9.5424250943932485</v>
      </c>
      <c r="I24" s="2">
        <f>FieldFox!AJ24</f>
        <v>15.48999999999999</v>
      </c>
      <c r="J24" s="2">
        <f>'Meas. Noise Std'!AA25</f>
        <v>5</v>
      </c>
      <c r="K24" s="2">
        <f>'User Cal. Noise Std'!AA25</f>
        <v>12</v>
      </c>
      <c r="L24" s="2">
        <f>'Meas. Noise Std'!AB25</f>
        <v>0.1</v>
      </c>
      <c r="M24" s="2">
        <f>'Meas. Noise Std'!AC25</f>
        <v>0.1</v>
      </c>
      <c r="N24" s="2">
        <f>'User Cal. Noise Std'!AC25</f>
        <v>0.22</v>
      </c>
      <c r="O24" s="2">
        <f>'Meas. Noise Std'!AD25</f>
        <v>1</v>
      </c>
      <c r="P24" s="2">
        <f>'User Cal. Noise Std'!AD25</f>
        <v>0.12</v>
      </c>
      <c r="Q24" s="2">
        <f>FieldFox!AI24</f>
        <v>0.30000000000000004</v>
      </c>
      <c r="T24" s="2">
        <f>DUT!AH25</f>
        <v>0</v>
      </c>
      <c r="U24" s="2">
        <f>Preamp!AH25</f>
        <v>0</v>
      </c>
      <c r="V24" s="2">
        <f>DUT!AG25</f>
        <v>0.31622776601683794</v>
      </c>
      <c r="W24" s="2">
        <f>Preamp!AG25</f>
        <v>0.28183829312644532</v>
      </c>
    </row>
    <row r="25" spans="1:23">
      <c r="A25" s="2">
        <f>MIN(StopFreqGHz+0.000001,Result!A24+FreqStep)</f>
        <v>10.660000000000005</v>
      </c>
      <c r="B25" s="2">
        <f t="shared" si="0"/>
        <v>18.871600000000004</v>
      </c>
      <c r="C25" s="2">
        <f>DUT!AD26</f>
        <v>20</v>
      </c>
      <c r="D25" s="2">
        <f>DUT!AF26</f>
        <v>0.2</v>
      </c>
      <c r="E25" s="2">
        <f>Preamp!AD26</f>
        <v>18.871600000000004</v>
      </c>
      <c r="F25" s="2">
        <f>Preamp!AE26</f>
        <v>4</v>
      </c>
      <c r="G25" s="2">
        <f>Preamp!AF26</f>
        <v>0.3981071705534972</v>
      </c>
      <c r="H25" s="2">
        <f>20*LOG10(FieldFox!D25)</f>
        <v>-9.5424250943932485</v>
      </c>
      <c r="I25" s="2">
        <f>FieldFox!AJ25</f>
        <v>15.48999999999999</v>
      </c>
      <c r="J25" s="2">
        <f>'Meas. Noise Std'!AA26</f>
        <v>5</v>
      </c>
      <c r="K25" s="2">
        <f>'User Cal. Noise Std'!AA26</f>
        <v>12</v>
      </c>
      <c r="L25" s="2">
        <f>'Meas. Noise Std'!AB26</f>
        <v>0.1</v>
      </c>
      <c r="M25" s="2">
        <f>'Meas. Noise Std'!AC26</f>
        <v>0.1</v>
      </c>
      <c r="N25" s="2">
        <f>'User Cal. Noise Std'!AC26</f>
        <v>0.22</v>
      </c>
      <c r="O25" s="2">
        <f>'Meas. Noise Std'!AD26</f>
        <v>1</v>
      </c>
      <c r="P25" s="2">
        <f>'User Cal. Noise Std'!AD26</f>
        <v>0.12</v>
      </c>
      <c r="Q25" s="2">
        <f>FieldFox!AI25</f>
        <v>0.30000000000000004</v>
      </c>
      <c r="T25" s="2">
        <f>DUT!AH26</f>
        <v>0</v>
      </c>
      <c r="U25" s="2">
        <f>Preamp!AH26</f>
        <v>0</v>
      </c>
      <c r="V25" s="2">
        <f>DUT!AG26</f>
        <v>0.31622776601683794</v>
      </c>
      <c r="W25" s="2">
        <f>Preamp!AG26</f>
        <v>0.28183829312644532</v>
      </c>
    </row>
    <row r="26" spans="1:23">
      <c r="A26" s="2">
        <f>MIN(StopFreqGHz+0.000001,Result!A25+FreqStep)</f>
        <v>11.188000000000006</v>
      </c>
      <c r="B26" s="2">
        <f t="shared" si="0"/>
        <v>19.008880000000005</v>
      </c>
      <c r="C26" s="2">
        <f>DUT!AD27</f>
        <v>20</v>
      </c>
      <c r="D26" s="2">
        <f>DUT!AF27</f>
        <v>0.2</v>
      </c>
      <c r="E26" s="2">
        <f>Preamp!AD27</f>
        <v>19.008880000000005</v>
      </c>
      <c r="F26" s="2">
        <f>Preamp!AE27</f>
        <v>4</v>
      </c>
      <c r="G26" s="2">
        <f>Preamp!AF27</f>
        <v>0.3981071705534972</v>
      </c>
      <c r="H26" s="2">
        <f>20*LOG10(FieldFox!D26)</f>
        <v>-9.5424250943932485</v>
      </c>
      <c r="I26" s="2">
        <f>FieldFox!AJ26</f>
        <v>15.48999999999999</v>
      </c>
      <c r="J26" s="2">
        <f>'Meas. Noise Std'!AA27</f>
        <v>5</v>
      </c>
      <c r="K26" s="2">
        <f>'User Cal. Noise Std'!AA27</f>
        <v>12</v>
      </c>
      <c r="L26" s="2">
        <f>'Meas. Noise Std'!AB27</f>
        <v>0.1</v>
      </c>
      <c r="M26" s="2">
        <f>'Meas. Noise Std'!AC27</f>
        <v>0.1</v>
      </c>
      <c r="N26" s="2">
        <f>'User Cal. Noise Std'!AC27</f>
        <v>0.22</v>
      </c>
      <c r="O26" s="2">
        <f>'Meas. Noise Std'!AD27</f>
        <v>1</v>
      </c>
      <c r="P26" s="2">
        <f>'User Cal. Noise Std'!AD27</f>
        <v>0.12</v>
      </c>
      <c r="Q26" s="2">
        <f>FieldFox!AI26</f>
        <v>0.30000000000000004</v>
      </c>
      <c r="T26" s="2">
        <f>DUT!AH27</f>
        <v>0</v>
      </c>
      <c r="U26" s="2">
        <f>Preamp!AH27</f>
        <v>0</v>
      </c>
      <c r="V26" s="2">
        <f>DUT!AG27</f>
        <v>0.31622776601683794</v>
      </c>
      <c r="W26" s="2">
        <f>Preamp!AG27</f>
        <v>0.28183829312644532</v>
      </c>
    </row>
    <row r="27" spans="1:23">
      <c r="A27" s="2">
        <f>MIN(StopFreqGHz+0.000001,Result!A26+FreqStep)</f>
        <v>11.716000000000006</v>
      </c>
      <c r="B27" s="2">
        <f t="shared" si="0"/>
        <v>19.146160000000002</v>
      </c>
      <c r="C27" s="2">
        <f>DUT!AD28</f>
        <v>20</v>
      </c>
      <c r="D27" s="2">
        <f>DUT!AF28</f>
        <v>0.2</v>
      </c>
      <c r="E27" s="2">
        <f>Preamp!AD28</f>
        <v>19.146160000000002</v>
      </c>
      <c r="F27" s="2">
        <f>Preamp!AE28</f>
        <v>4</v>
      </c>
      <c r="G27" s="2">
        <f>Preamp!AF28</f>
        <v>0.3981071705534972</v>
      </c>
      <c r="H27" s="2">
        <f>20*LOG10(FieldFox!D27)</f>
        <v>-9.5424250943932485</v>
      </c>
      <c r="I27" s="2">
        <f>FieldFox!AJ27</f>
        <v>15.48999999999999</v>
      </c>
      <c r="J27" s="2">
        <f>'Meas. Noise Std'!AA28</f>
        <v>5</v>
      </c>
      <c r="K27" s="2">
        <f>'User Cal. Noise Std'!AA28</f>
        <v>12</v>
      </c>
      <c r="L27" s="2">
        <f>'Meas. Noise Std'!AB28</f>
        <v>0.1</v>
      </c>
      <c r="M27" s="2">
        <f>'Meas. Noise Std'!AC28</f>
        <v>0.1</v>
      </c>
      <c r="N27" s="2">
        <f>'User Cal. Noise Std'!AC28</f>
        <v>0.22</v>
      </c>
      <c r="O27" s="2">
        <f>'Meas. Noise Std'!AD28</f>
        <v>1</v>
      </c>
      <c r="P27" s="2">
        <f>'User Cal. Noise Std'!AD28</f>
        <v>0.12</v>
      </c>
      <c r="Q27" s="2">
        <f>FieldFox!AI27</f>
        <v>0.30000000000000004</v>
      </c>
      <c r="T27" s="2">
        <f>DUT!AH28</f>
        <v>0</v>
      </c>
      <c r="U27" s="2">
        <f>Preamp!AH28</f>
        <v>0</v>
      </c>
      <c r="V27" s="2">
        <f>DUT!AG28</f>
        <v>0.31622776601683794</v>
      </c>
      <c r="W27" s="2">
        <f>Preamp!AG28</f>
        <v>0.28183829312644532</v>
      </c>
    </row>
    <row r="28" spans="1:23">
      <c r="A28" s="2">
        <f>MIN(StopFreqGHz+0.000001,Result!A27+FreqStep)</f>
        <v>12.244000000000007</v>
      </c>
      <c r="B28" s="2">
        <f t="shared" si="0"/>
        <v>19.283440000000002</v>
      </c>
      <c r="C28" s="2">
        <f>DUT!AD29</f>
        <v>20</v>
      </c>
      <c r="D28" s="2">
        <f>DUT!AF29</f>
        <v>0.2</v>
      </c>
      <c r="E28" s="2">
        <f>Preamp!AD29</f>
        <v>19.283440000000002</v>
      </c>
      <c r="F28" s="2">
        <f>Preamp!AE29</f>
        <v>4</v>
      </c>
      <c r="G28" s="2">
        <f>Preamp!AF29</f>
        <v>0.3981071705534972</v>
      </c>
      <c r="H28" s="2">
        <f>20*LOG10(FieldFox!D28)</f>
        <v>-9.5424250943932485</v>
      </c>
      <c r="I28" s="2">
        <f>FieldFox!AJ28</f>
        <v>15.48999999999999</v>
      </c>
      <c r="J28" s="2">
        <f>'Meas. Noise Std'!AA29</f>
        <v>5</v>
      </c>
      <c r="K28" s="2">
        <f>'User Cal. Noise Std'!AA29</f>
        <v>12</v>
      </c>
      <c r="L28" s="2">
        <f>'Meas. Noise Std'!AB29</f>
        <v>0.1</v>
      </c>
      <c r="M28" s="2">
        <f>'Meas. Noise Std'!AC29</f>
        <v>0.1</v>
      </c>
      <c r="N28" s="2">
        <f>'User Cal. Noise Std'!AC29</f>
        <v>0.22</v>
      </c>
      <c r="O28" s="2">
        <f>'Meas. Noise Std'!AD29</f>
        <v>1</v>
      </c>
      <c r="P28" s="2">
        <f>'User Cal. Noise Std'!AD29</f>
        <v>0.12</v>
      </c>
      <c r="Q28" s="2">
        <f>FieldFox!AI28</f>
        <v>0.30000000000000004</v>
      </c>
      <c r="T28" s="2">
        <f>DUT!AH29</f>
        <v>0</v>
      </c>
      <c r="U28" s="2">
        <f>Preamp!AH29</f>
        <v>0</v>
      </c>
      <c r="V28" s="2">
        <f>DUT!AG29</f>
        <v>0.31622776601683794</v>
      </c>
      <c r="W28" s="2">
        <f>Preamp!AG29</f>
        <v>0.28183829312644532</v>
      </c>
    </row>
    <row r="29" spans="1:23">
      <c r="A29" s="2">
        <f>MIN(StopFreqGHz+0.000001,Result!A28+FreqStep)</f>
        <v>12.772000000000007</v>
      </c>
      <c r="B29" s="2">
        <f t="shared" si="0"/>
        <v>19.420720000000003</v>
      </c>
      <c r="C29" s="2">
        <f>DUT!AD30</f>
        <v>20</v>
      </c>
      <c r="D29" s="2">
        <f>DUT!AF30</f>
        <v>0.2</v>
      </c>
      <c r="E29" s="2">
        <f>Preamp!AD30</f>
        <v>19.420720000000003</v>
      </c>
      <c r="F29" s="2">
        <f>Preamp!AE30</f>
        <v>4</v>
      </c>
      <c r="G29" s="2">
        <f>Preamp!AF30</f>
        <v>0.3981071705534972</v>
      </c>
      <c r="H29" s="2">
        <f>20*LOG10(FieldFox!D29)</f>
        <v>-9.5424250943932485</v>
      </c>
      <c r="I29" s="2">
        <f>FieldFox!AJ29</f>
        <v>15.48999999999999</v>
      </c>
      <c r="J29" s="2">
        <f>'Meas. Noise Std'!AA30</f>
        <v>5</v>
      </c>
      <c r="K29" s="2">
        <f>'User Cal. Noise Std'!AA30</f>
        <v>12</v>
      </c>
      <c r="L29" s="2">
        <f>'Meas. Noise Std'!AB30</f>
        <v>0.1</v>
      </c>
      <c r="M29" s="2">
        <f>'Meas. Noise Std'!AC30</f>
        <v>0.1</v>
      </c>
      <c r="N29" s="2">
        <f>'User Cal. Noise Std'!AC30</f>
        <v>0.22</v>
      </c>
      <c r="O29" s="2">
        <f>'Meas. Noise Std'!AD30</f>
        <v>1</v>
      </c>
      <c r="P29" s="2">
        <f>'User Cal. Noise Std'!AD30</f>
        <v>0.12</v>
      </c>
      <c r="Q29" s="2">
        <f>FieldFox!AI29</f>
        <v>0.30000000000000004</v>
      </c>
      <c r="T29" s="2">
        <f>DUT!AH30</f>
        <v>0</v>
      </c>
      <c r="U29" s="2">
        <f>Preamp!AH30</f>
        <v>0</v>
      </c>
      <c r="V29" s="2">
        <f>DUT!AG30</f>
        <v>0.31622776601683794</v>
      </c>
      <c r="W29" s="2">
        <f>Preamp!AG30</f>
        <v>0.28183829312644532</v>
      </c>
    </row>
    <row r="30" spans="1:23">
      <c r="A30" s="2">
        <f>MIN(StopFreqGHz+0.000001,Result!A29+FreqStep)</f>
        <v>13.300000000000008</v>
      </c>
      <c r="B30" s="2">
        <f t="shared" si="0"/>
        <v>19.558000000000003</v>
      </c>
      <c r="C30" s="2">
        <f>DUT!AD31</f>
        <v>20</v>
      </c>
      <c r="D30" s="2">
        <f>DUT!AF31</f>
        <v>0.2</v>
      </c>
      <c r="E30" s="2">
        <f>Preamp!AD31</f>
        <v>19.558000000000003</v>
      </c>
      <c r="F30" s="2">
        <f>Preamp!AE31</f>
        <v>4</v>
      </c>
      <c r="G30" s="2">
        <f>Preamp!AF31</f>
        <v>0.3981071705534972</v>
      </c>
      <c r="H30" s="2">
        <f>20*LOG10(FieldFox!D30)</f>
        <v>-9.5424250943932485</v>
      </c>
      <c r="I30" s="2">
        <f>FieldFox!AJ30</f>
        <v>18.489999999999988</v>
      </c>
      <c r="J30" s="2">
        <f>'Meas. Noise Std'!AA31</f>
        <v>5</v>
      </c>
      <c r="K30" s="2">
        <f>'User Cal. Noise Std'!AA31</f>
        <v>12</v>
      </c>
      <c r="L30" s="2">
        <f>'Meas. Noise Std'!AB31</f>
        <v>0.1</v>
      </c>
      <c r="M30" s="2">
        <f>'Meas. Noise Std'!AC31</f>
        <v>0.1</v>
      </c>
      <c r="N30" s="2">
        <f>'User Cal. Noise Std'!AC31</f>
        <v>0.22</v>
      </c>
      <c r="O30" s="2">
        <f>'Meas. Noise Std'!AD31</f>
        <v>1</v>
      </c>
      <c r="P30" s="2">
        <f>'User Cal. Noise Std'!AD31</f>
        <v>0.12</v>
      </c>
      <c r="Q30" s="2">
        <f>FieldFox!AI30</f>
        <v>0.30000000000000004</v>
      </c>
      <c r="T30" s="2">
        <f>DUT!AH31</f>
        <v>0</v>
      </c>
      <c r="U30" s="2">
        <f>Preamp!AH31</f>
        <v>0</v>
      </c>
      <c r="V30" s="2">
        <f>DUT!AG31</f>
        <v>0.31622776601683794</v>
      </c>
      <c r="W30" s="2">
        <f>Preamp!AG31</f>
        <v>0.28183829312644532</v>
      </c>
    </row>
    <row r="31" spans="1:23">
      <c r="A31" s="2">
        <f>MIN(StopFreqGHz+0.000001,Result!A30+FreqStep)</f>
        <v>13.828000000000008</v>
      </c>
      <c r="B31" s="2">
        <f t="shared" si="0"/>
        <v>19.695280000000004</v>
      </c>
      <c r="C31" s="2">
        <f>DUT!AD32</f>
        <v>20</v>
      </c>
      <c r="D31" s="2">
        <f>DUT!AF32</f>
        <v>0.2</v>
      </c>
      <c r="E31" s="2">
        <f>Preamp!AD32</f>
        <v>19.695280000000004</v>
      </c>
      <c r="F31" s="2">
        <f>Preamp!AE32</f>
        <v>4</v>
      </c>
      <c r="G31" s="2">
        <f>Preamp!AF32</f>
        <v>0.3981071705534972</v>
      </c>
      <c r="H31" s="2">
        <f>20*LOG10(FieldFox!D31)</f>
        <v>-9.5424250943932485</v>
      </c>
      <c r="I31" s="2">
        <f>FieldFox!AJ31</f>
        <v>18.489999999999988</v>
      </c>
      <c r="J31" s="2">
        <f>'Meas. Noise Std'!AA32</f>
        <v>5</v>
      </c>
      <c r="K31" s="2">
        <f>'User Cal. Noise Std'!AA32</f>
        <v>12</v>
      </c>
      <c r="L31" s="2">
        <f>'Meas. Noise Std'!AB32</f>
        <v>0.1</v>
      </c>
      <c r="M31" s="2">
        <f>'Meas. Noise Std'!AC32</f>
        <v>0.1</v>
      </c>
      <c r="N31" s="2">
        <f>'User Cal. Noise Std'!AC32</f>
        <v>0.22</v>
      </c>
      <c r="O31" s="2">
        <f>'Meas. Noise Std'!AD32</f>
        <v>1</v>
      </c>
      <c r="P31" s="2">
        <f>'User Cal. Noise Std'!AD32</f>
        <v>0.12</v>
      </c>
      <c r="Q31" s="2">
        <f>FieldFox!AI31</f>
        <v>0.30000000000000004</v>
      </c>
      <c r="T31" s="2">
        <f>DUT!AH32</f>
        <v>0</v>
      </c>
      <c r="U31" s="2">
        <f>Preamp!AH32</f>
        <v>0</v>
      </c>
      <c r="V31" s="2">
        <f>DUT!AG32</f>
        <v>0.31622776601683794</v>
      </c>
      <c r="W31" s="2">
        <f>Preamp!AG32</f>
        <v>0.28183829312644532</v>
      </c>
    </row>
    <row r="32" spans="1:23">
      <c r="A32" s="2">
        <f>MIN(StopFreqGHz+0.000001,Result!A31+FreqStep)</f>
        <v>14.356000000000009</v>
      </c>
      <c r="B32" s="2">
        <f t="shared" si="0"/>
        <v>19.832560000000004</v>
      </c>
      <c r="C32" s="2">
        <f>DUT!AD33</f>
        <v>20</v>
      </c>
      <c r="D32" s="2">
        <f>DUT!AF33</f>
        <v>0.2</v>
      </c>
      <c r="E32" s="2">
        <f>Preamp!AD33</f>
        <v>19.832560000000004</v>
      </c>
      <c r="F32" s="2">
        <f>Preamp!AE33</f>
        <v>4</v>
      </c>
      <c r="G32" s="2">
        <f>Preamp!AF33</f>
        <v>0.3981071705534972</v>
      </c>
      <c r="H32" s="2">
        <f>20*LOG10(FieldFox!D32)</f>
        <v>-9.5424250943932485</v>
      </c>
      <c r="I32" s="2">
        <f>FieldFox!AJ32</f>
        <v>18.489999999999988</v>
      </c>
      <c r="J32" s="2">
        <f>'Meas. Noise Std'!AA33</f>
        <v>5</v>
      </c>
      <c r="K32" s="2">
        <f>'User Cal. Noise Std'!AA33</f>
        <v>12</v>
      </c>
      <c r="L32" s="2">
        <f>'Meas. Noise Std'!AB33</f>
        <v>0.1</v>
      </c>
      <c r="M32" s="2">
        <f>'Meas. Noise Std'!AC33</f>
        <v>0.1</v>
      </c>
      <c r="N32" s="2">
        <f>'User Cal. Noise Std'!AC33</f>
        <v>0.22</v>
      </c>
      <c r="O32" s="2">
        <f>'Meas. Noise Std'!AD33</f>
        <v>1</v>
      </c>
      <c r="P32" s="2">
        <f>'User Cal. Noise Std'!AD33</f>
        <v>0.12</v>
      </c>
      <c r="Q32" s="2">
        <f>FieldFox!AI32</f>
        <v>0.30000000000000004</v>
      </c>
      <c r="T32" s="2">
        <f>DUT!AH33</f>
        <v>0</v>
      </c>
      <c r="U32" s="2">
        <f>Preamp!AH33</f>
        <v>0</v>
      </c>
      <c r="V32" s="2">
        <f>DUT!AG33</f>
        <v>0.31622776601683794</v>
      </c>
      <c r="W32" s="2">
        <f>Preamp!AG33</f>
        <v>0.28183829312644532</v>
      </c>
    </row>
    <row r="33" spans="1:23">
      <c r="A33" s="2">
        <f>MIN(StopFreqGHz+0.000001,Result!A32+FreqStep)</f>
        <v>14.884000000000009</v>
      </c>
      <c r="B33" s="2">
        <f t="shared" si="0"/>
        <v>19.969840000000005</v>
      </c>
      <c r="C33" s="2">
        <f>DUT!AD34</f>
        <v>20</v>
      </c>
      <c r="D33" s="2">
        <f>DUT!AF34</f>
        <v>0.2</v>
      </c>
      <c r="E33" s="2">
        <f>Preamp!AD34</f>
        <v>19.969840000000005</v>
      </c>
      <c r="F33" s="2">
        <f>Preamp!AE34</f>
        <v>4</v>
      </c>
      <c r="G33" s="2">
        <f>Preamp!AF34</f>
        <v>0.3981071705534972</v>
      </c>
      <c r="H33" s="2">
        <f>20*LOG10(FieldFox!D33)</f>
        <v>-9.5424250943932485</v>
      </c>
      <c r="I33" s="2">
        <f>FieldFox!AJ33</f>
        <v>18.489999999999988</v>
      </c>
      <c r="J33" s="2">
        <f>'Meas. Noise Std'!AA34</f>
        <v>5</v>
      </c>
      <c r="K33" s="2">
        <f>'User Cal. Noise Std'!AA34</f>
        <v>12</v>
      </c>
      <c r="L33" s="2">
        <f>'Meas. Noise Std'!AB34</f>
        <v>0.1</v>
      </c>
      <c r="M33" s="2">
        <f>'Meas. Noise Std'!AC34</f>
        <v>0.1</v>
      </c>
      <c r="N33" s="2">
        <f>'User Cal. Noise Std'!AC34</f>
        <v>0.22</v>
      </c>
      <c r="O33" s="2">
        <f>'Meas. Noise Std'!AD34</f>
        <v>1</v>
      </c>
      <c r="P33" s="2">
        <f>'User Cal. Noise Std'!AD34</f>
        <v>0.12</v>
      </c>
      <c r="Q33" s="2">
        <f>FieldFox!AI33</f>
        <v>0.30000000000000004</v>
      </c>
      <c r="T33" s="2">
        <f>DUT!AH34</f>
        <v>0</v>
      </c>
      <c r="U33" s="2">
        <f>Preamp!AH34</f>
        <v>0</v>
      </c>
      <c r="V33" s="2">
        <f>DUT!AG34</f>
        <v>0.31622776601683794</v>
      </c>
      <c r="W33" s="2">
        <f>Preamp!AG34</f>
        <v>0.28183829312644532</v>
      </c>
    </row>
    <row r="34" spans="1:23">
      <c r="A34" s="2">
        <f>MIN(StopFreqGHz+0.000001,Result!A33+FreqStep)</f>
        <v>15.41200000000001</v>
      </c>
      <c r="B34" s="2">
        <f t="shared" si="0"/>
        <v>20.107120000000002</v>
      </c>
      <c r="C34" s="2">
        <f>DUT!AD35</f>
        <v>20</v>
      </c>
      <c r="D34" s="2">
        <f>DUT!AF35</f>
        <v>0.2</v>
      </c>
      <c r="E34" s="2">
        <f>Preamp!AD35</f>
        <v>20.107120000000002</v>
      </c>
      <c r="F34" s="2">
        <f>Preamp!AE35</f>
        <v>4</v>
      </c>
      <c r="G34" s="2">
        <f>Preamp!AF35</f>
        <v>0.3981071705534972</v>
      </c>
      <c r="H34" s="2">
        <f>20*LOG10(FieldFox!D34)</f>
        <v>-9.5424250943932485</v>
      </c>
      <c r="I34" s="2">
        <f>FieldFox!AJ34</f>
        <v>18.489999999999988</v>
      </c>
      <c r="J34" s="2">
        <f>'Meas. Noise Std'!AA35</f>
        <v>5</v>
      </c>
      <c r="K34" s="2">
        <f>'User Cal. Noise Std'!AA35</f>
        <v>12</v>
      </c>
      <c r="L34" s="2">
        <f>'Meas. Noise Std'!AB35</f>
        <v>0.1</v>
      </c>
      <c r="M34" s="2">
        <f>'Meas. Noise Std'!AC35</f>
        <v>0.1</v>
      </c>
      <c r="N34" s="2">
        <f>'User Cal. Noise Std'!AC35</f>
        <v>0.22</v>
      </c>
      <c r="O34" s="2">
        <f>'Meas. Noise Std'!AD35</f>
        <v>1</v>
      </c>
      <c r="P34" s="2">
        <f>'User Cal. Noise Std'!AD35</f>
        <v>0.12</v>
      </c>
      <c r="Q34" s="2">
        <f>FieldFox!AI34</f>
        <v>0.30000000000000004</v>
      </c>
      <c r="T34" s="2">
        <f>DUT!AH35</f>
        <v>0</v>
      </c>
      <c r="U34" s="2">
        <f>Preamp!AH35</f>
        <v>0</v>
      </c>
      <c r="V34" s="2">
        <f>DUT!AG35</f>
        <v>0.31622776601683794</v>
      </c>
      <c r="W34" s="2">
        <f>Preamp!AG35</f>
        <v>0.28183829312644532</v>
      </c>
    </row>
    <row r="35" spans="1:23">
      <c r="A35" s="2">
        <f>MIN(StopFreqGHz+0.000001,Result!A34+FreqStep)</f>
        <v>15.94000000000001</v>
      </c>
      <c r="B35" s="2">
        <f t="shared" si="0"/>
        <v>20.244400000000006</v>
      </c>
      <c r="C35" s="2">
        <f>DUT!AD36</f>
        <v>20</v>
      </c>
      <c r="D35" s="2">
        <f>DUT!AF36</f>
        <v>0.2</v>
      </c>
      <c r="E35" s="2">
        <f>Preamp!AD36</f>
        <v>20.244400000000006</v>
      </c>
      <c r="F35" s="2">
        <f>Preamp!AE36</f>
        <v>4</v>
      </c>
      <c r="G35" s="2">
        <f>Preamp!AF36</f>
        <v>0.3981071705534972</v>
      </c>
      <c r="H35" s="2">
        <f>20*LOG10(FieldFox!D35)</f>
        <v>-9.5424250943932485</v>
      </c>
      <c r="I35" s="2">
        <f>FieldFox!AJ35</f>
        <v>18.489999999999988</v>
      </c>
      <c r="J35" s="2">
        <f>'Meas. Noise Std'!AA36</f>
        <v>5</v>
      </c>
      <c r="K35" s="2">
        <f>'User Cal. Noise Std'!AA36</f>
        <v>12</v>
      </c>
      <c r="L35" s="2">
        <f>'Meas. Noise Std'!AB36</f>
        <v>0.1</v>
      </c>
      <c r="M35" s="2">
        <f>'Meas. Noise Std'!AC36</f>
        <v>0.1</v>
      </c>
      <c r="N35" s="2">
        <f>'User Cal. Noise Std'!AC36</f>
        <v>0.22</v>
      </c>
      <c r="O35" s="2">
        <f>'Meas. Noise Std'!AD36</f>
        <v>1</v>
      </c>
      <c r="P35" s="2">
        <f>'User Cal. Noise Std'!AD36</f>
        <v>0.12</v>
      </c>
      <c r="Q35" s="2">
        <f>FieldFox!AI35</f>
        <v>0.30000000000000004</v>
      </c>
      <c r="T35" s="2">
        <f>DUT!AH36</f>
        <v>0</v>
      </c>
      <c r="U35" s="2">
        <f>Preamp!AH36</f>
        <v>0</v>
      </c>
      <c r="V35" s="2">
        <f>DUT!AG36</f>
        <v>0.31622776601683794</v>
      </c>
      <c r="W35" s="2">
        <f>Preamp!AG36</f>
        <v>0.28183829312644532</v>
      </c>
    </row>
    <row r="36" spans="1:23">
      <c r="A36" s="2">
        <f>MIN(StopFreqGHz+0.000001,Result!A35+FreqStep)</f>
        <v>16.468000000000011</v>
      </c>
      <c r="B36" s="2">
        <f t="shared" ref="B36:B67" si="1">CHOOSE(SelectInfoDisplay,C36,D36,E36,F36,G36,I36,J36,L36,M36,O36,Q36,K36,N36,P36,V36,W36)</f>
        <v>20.381680000000003</v>
      </c>
      <c r="C36" s="2">
        <f>DUT!AD37</f>
        <v>20</v>
      </c>
      <c r="D36" s="2">
        <f>DUT!AF37</f>
        <v>0.2</v>
      </c>
      <c r="E36" s="2">
        <f>Preamp!AD37</f>
        <v>20.381680000000003</v>
      </c>
      <c r="F36" s="2">
        <f>Preamp!AE37</f>
        <v>4</v>
      </c>
      <c r="G36" s="2">
        <f>Preamp!AF37</f>
        <v>0.3981071705534972</v>
      </c>
      <c r="H36" s="2">
        <f>20*LOG10(FieldFox!D36)</f>
        <v>-9.5424250943932485</v>
      </c>
      <c r="I36" s="2">
        <f>FieldFox!AJ36</f>
        <v>18.489999999999988</v>
      </c>
      <c r="J36" s="2">
        <f>'Meas. Noise Std'!AA37</f>
        <v>5</v>
      </c>
      <c r="K36" s="2">
        <f>'User Cal. Noise Std'!AA37</f>
        <v>12</v>
      </c>
      <c r="L36" s="2">
        <f>'Meas. Noise Std'!AB37</f>
        <v>0.1</v>
      </c>
      <c r="M36" s="2">
        <f>'Meas. Noise Std'!AC37</f>
        <v>0.1</v>
      </c>
      <c r="N36" s="2">
        <f>'User Cal. Noise Std'!AC37</f>
        <v>0.22</v>
      </c>
      <c r="O36" s="2">
        <f>'Meas. Noise Std'!AD37</f>
        <v>1</v>
      </c>
      <c r="P36" s="2">
        <f>'User Cal. Noise Std'!AD37</f>
        <v>0.12</v>
      </c>
      <c r="Q36" s="2">
        <f>FieldFox!AI36</f>
        <v>0.30000000000000004</v>
      </c>
      <c r="T36" s="2">
        <f>DUT!AH37</f>
        <v>0</v>
      </c>
      <c r="U36" s="2">
        <f>Preamp!AH37</f>
        <v>0</v>
      </c>
      <c r="V36" s="2">
        <f>DUT!AG37</f>
        <v>0.31622776601683794</v>
      </c>
      <c r="W36" s="2">
        <f>Preamp!AG37</f>
        <v>0.28183829312644532</v>
      </c>
    </row>
    <row r="37" spans="1:23">
      <c r="A37" s="2">
        <f>MIN(StopFreqGHz+0.000001,Result!A36+FreqStep)</f>
        <v>16.996000000000009</v>
      </c>
      <c r="B37" s="2">
        <f t="shared" si="1"/>
        <v>20.518960000000003</v>
      </c>
      <c r="C37" s="2">
        <f>DUT!AD38</f>
        <v>20</v>
      </c>
      <c r="D37" s="2">
        <f>DUT!AF38</f>
        <v>0.2</v>
      </c>
      <c r="E37" s="2">
        <f>Preamp!AD38</f>
        <v>20.518960000000003</v>
      </c>
      <c r="F37" s="2">
        <f>Preamp!AE38</f>
        <v>4</v>
      </c>
      <c r="G37" s="2">
        <f>Preamp!AF38</f>
        <v>0.3981071705534972</v>
      </c>
      <c r="H37" s="2">
        <f>20*LOG10(FieldFox!D37)</f>
        <v>-9.5424250943932485</v>
      </c>
      <c r="I37" s="2">
        <f>FieldFox!AJ37</f>
        <v>18.489999999999988</v>
      </c>
      <c r="J37" s="2">
        <f>'Meas. Noise Std'!AA38</f>
        <v>5</v>
      </c>
      <c r="K37" s="2">
        <f>'User Cal. Noise Std'!AA38</f>
        <v>12</v>
      </c>
      <c r="L37" s="2">
        <f>'Meas. Noise Std'!AB38</f>
        <v>0.1</v>
      </c>
      <c r="M37" s="2">
        <f>'Meas. Noise Std'!AC38</f>
        <v>0.1</v>
      </c>
      <c r="N37" s="2">
        <f>'User Cal. Noise Std'!AC38</f>
        <v>0.22</v>
      </c>
      <c r="O37" s="2">
        <f>'Meas. Noise Std'!AD38</f>
        <v>1</v>
      </c>
      <c r="P37" s="2">
        <f>'User Cal. Noise Std'!AD38</f>
        <v>0.12</v>
      </c>
      <c r="Q37" s="2">
        <f>FieldFox!AI37</f>
        <v>0.30000000000000004</v>
      </c>
      <c r="T37" s="2">
        <f>DUT!AH38</f>
        <v>0</v>
      </c>
      <c r="U37" s="2">
        <f>Preamp!AH38</f>
        <v>0</v>
      </c>
      <c r="V37" s="2">
        <f>DUT!AG38</f>
        <v>0.31622776601683794</v>
      </c>
      <c r="W37" s="2">
        <f>Preamp!AG38</f>
        <v>0.28183829312644532</v>
      </c>
    </row>
    <row r="38" spans="1:23">
      <c r="A38" s="2">
        <f>MIN(StopFreqGHz+0.000001,Result!A37+FreqStep)</f>
        <v>17.524000000000008</v>
      </c>
      <c r="B38" s="2">
        <f t="shared" si="1"/>
        <v>20.656240000000004</v>
      </c>
      <c r="C38" s="2">
        <f>DUT!AD39</f>
        <v>20</v>
      </c>
      <c r="D38" s="2">
        <f>DUT!AF39</f>
        <v>0.2</v>
      </c>
      <c r="E38" s="2">
        <f>Preamp!AD39</f>
        <v>20.656240000000004</v>
      </c>
      <c r="F38" s="2">
        <f>Preamp!AE39</f>
        <v>4</v>
      </c>
      <c r="G38" s="2">
        <f>Preamp!AF39</f>
        <v>0.3981071705534972</v>
      </c>
      <c r="H38" s="2">
        <f>20*LOG10(FieldFox!D38)</f>
        <v>-9.5424250943932485</v>
      </c>
      <c r="I38" s="2">
        <f>FieldFox!AJ38</f>
        <v>18.489999999999988</v>
      </c>
      <c r="J38" s="2">
        <f>'Meas. Noise Std'!AA39</f>
        <v>5</v>
      </c>
      <c r="K38" s="2">
        <f>'User Cal. Noise Std'!AA39</f>
        <v>12</v>
      </c>
      <c r="L38" s="2">
        <f>'Meas. Noise Std'!AB39</f>
        <v>0.1</v>
      </c>
      <c r="M38" s="2">
        <f>'Meas. Noise Std'!AC39</f>
        <v>0.1</v>
      </c>
      <c r="N38" s="2">
        <f>'User Cal. Noise Std'!AC39</f>
        <v>0.22</v>
      </c>
      <c r="O38" s="2">
        <f>'Meas. Noise Std'!AD39</f>
        <v>1</v>
      </c>
      <c r="P38" s="2">
        <f>'User Cal. Noise Std'!AD39</f>
        <v>0.12</v>
      </c>
      <c r="Q38" s="2">
        <f>FieldFox!AI38</f>
        <v>0.30000000000000004</v>
      </c>
      <c r="T38" s="2">
        <f>DUT!AH39</f>
        <v>0</v>
      </c>
      <c r="U38" s="2">
        <f>Preamp!AH39</f>
        <v>0</v>
      </c>
      <c r="V38" s="2">
        <f>DUT!AG39</f>
        <v>0.31622776601683794</v>
      </c>
      <c r="W38" s="2">
        <f>Preamp!AG39</f>
        <v>0.28183829312644532</v>
      </c>
    </row>
    <row r="39" spans="1:23">
      <c r="A39" s="2">
        <f>MIN(StopFreqGHz+0.000001,Result!A38+FreqStep)</f>
        <v>18.052000000000007</v>
      </c>
      <c r="B39" s="2">
        <f t="shared" si="1"/>
        <v>20.793520000000004</v>
      </c>
      <c r="C39" s="2">
        <f>DUT!AD40</f>
        <v>20</v>
      </c>
      <c r="D39" s="2">
        <f>DUT!AF40</f>
        <v>0.2</v>
      </c>
      <c r="E39" s="2">
        <f>Preamp!AD40</f>
        <v>20.793520000000004</v>
      </c>
      <c r="F39" s="2">
        <f>Preamp!AE40</f>
        <v>4</v>
      </c>
      <c r="G39" s="2">
        <f>Preamp!AF40</f>
        <v>0.3981071705534972</v>
      </c>
      <c r="H39" s="2">
        <f>20*LOG10(FieldFox!D39)</f>
        <v>-9.5424250943932485</v>
      </c>
      <c r="I39" s="2">
        <f>FieldFox!AJ39</f>
        <v>19.489999999999988</v>
      </c>
      <c r="J39" s="2">
        <f>'Meas. Noise Std'!AA40</f>
        <v>5</v>
      </c>
      <c r="K39" s="2">
        <f>'User Cal. Noise Std'!AA40</f>
        <v>12</v>
      </c>
      <c r="L39" s="2">
        <f>'Meas. Noise Std'!AB40</f>
        <v>0.1</v>
      </c>
      <c r="M39" s="2">
        <f>'Meas. Noise Std'!AC40</f>
        <v>0.1</v>
      </c>
      <c r="N39" s="2">
        <f>'User Cal. Noise Std'!AC40</f>
        <v>0.22</v>
      </c>
      <c r="O39" s="2">
        <f>'Meas. Noise Std'!AD40</f>
        <v>1</v>
      </c>
      <c r="P39" s="2">
        <f>'User Cal. Noise Std'!AD40</f>
        <v>0.12</v>
      </c>
      <c r="Q39" s="2">
        <f>FieldFox!AI39</f>
        <v>0.30000000000000004</v>
      </c>
      <c r="T39" s="2">
        <f>DUT!AH40</f>
        <v>0</v>
      </c>
      <c r="U39" s="2">
        <f>Preamp!AH40</f>
        <v>0</v>
      </c>
      <c r="V39" s="2">
        <f>DUT!AG40</f>
        <v>0.31622776601683794</v>
      </c>
      <c r="W39" s="2">
        <f>Preamp!AG40</f>
        <v>0.28183829312644532</v>
      </c>
    </row>
    <row r="40" spans="1:23">
      <c r="A40" s="2">
        <f>MIN(StopFreqGHz+0.000001,Result!A39+FreqStep)</f>
        <v>18.580000000000005</v>
      </c>
      <c r="B40" s="2">
        <f t="shared" si="1"/>
        <v>20.930800000000005</v>
      </c>
      <c r="C40" s="2">
        <f>DUT!AD41</f>
        <v>20</v>
      </c>
      <c r="D40" s="2">
        <f>DUT!AF41</f>
        <v>0.2</v>
      </c>
      <c r="E40" s="2">
        <f>Preamp!AD41</f>
        <v>20.930800000000005</v>
      </c>
      <c r="F40" s="2">
        <f>Preamp!AE41</f>
        <v>5</v>
      </c>
      <c r="G40" s="2">
        <f>Preamp!AF41</f>
        <v>0.3981071705534972</v>
      </c>
      <c r="H40" s="2">
        <f>20*LOG10(FieldFox!D40)</f>
        <v>-9.5424250943932485</v>
      </c>
      <c r="I40" s="2">
        <f>FieldFox!AJ40</f>
        <v>19.489999999999988</v>
      </c>
      <c r="J40" s="2">
        <f>'Meas. Noise Std'!AA41</f>
        <v>5</v>
      </c>
      <c r="K40" s="2">
        <f>'User Cal. Noise Std'!AA41</f>
        <v>12</v>
      </c>
      <c r="L40" s="2">
        <f>'Meas. Noise Std'!AB41</f>
        <v>0.1</v>
      </c>
      <c r="M40" s="2">
        <f>'Meas. Noise Std'!AC41</f>
        <v>0.1</v>
      </c>
      <c r="N40" s="2">
        <f>'User Cal. Noise Std'!AC41</f>
        <v>0.22</v>
      </c>
      <c r="O40" s="2">
        <f>'Meas. Noise Std'!AD41</f>
        <v>1</v>
      </c>
      <c r="P40" s="2">
        <f>'User Cal. Noise Std'!AD41</f>
        <v>0.12</v>
      </c>
      <c r="Q40" s="2">
        <f>FieldFox!AI40</f>
        <v>0.30000000000000004</v>
      </c>
      <c r="T40" s="2">
        <f>DUT!AH41</f>
        <v>0</v>
      </c>
      <c r="U40" s="2">
        <f>Preamp!AH41</f>
        <v>0</v>
      </c>
      <c r="V40" s="2">
        <f>DUT!AG41</f>
        <v>0.31622776601683794</v>
      </c>
      <c r="W40" s="2">
        <f>Preamp!AG41</f>
        <v>0.28183829312644532</v>
      </c>
    </row>
    <row r="41" spans="1:23">
      <c r="A41" s="2">
        <f>MIN(StopFreqGHz+0.000001,Result!A40+FreqStep)</f>
        <v>19.108000000000004</v>
      </c>
      <c r="B41" s="2">
        <f t="shared" si="1"/>
        <v>21.068080000000002</v>
      </c>
      <c r="C41" s="2">
        <f>DUT!AD42</f>
        <v>20</v>
      </c>
      <c r="D41" s="2">
        <f>DUT!AF42</f>
        <v>0.2</v>
      </c>
      <c r="E41" s="2">
        <f>Preamp!AD42</f>
        <v>21.068080000000002</v>
      </c>
      <c r="F41" s="2">
        <f>Preamp!AE42</f>
        <v>5</v>
      </c>
      <c r="G41" s="2">
        <f>Preamp!AF42</f>
        <v>0.3981071705534972</v>
      </c>
      <c r="H41" s="2">
        <f>20*LOG10(FieldFox!D41)</f>
        <v>-9.5424250943932485</v>
      </c>
      <c r="I41" s="2">
        <f>FieldFox!AJ41</f>
        <v>19.489999999999988</v>
      </c>
      <c r="J41" s="2">
        <f>'Meas. Noise Std'!AA42</f>
        <v>5</v>
      </c>
      <c r="K41" s="2">
        <f>'User Cal. Noise Std'!AA42</f>
        <v>12</v>
      </c>
      <c r="L41" s="2">
        <f>'Meas. Noise Std'!AB42</f>
        <v>0.1</v>
      </c>
      <c r="M41" s="2">
        <f>'Meas. Noise Std'!AC42</f>
        <v>0.1</v>
      </c>
      <c r="N41" s="2">
        <f>'User Cal. Noise Std'!AC42</f>
        <v>0.22</v>
      </c>
      <c r="O41" s="2">
        <f>'Meas. Noise Std'!AD42</f>
        <v>1</v>
      </c>
      <c r="P41" s="2">
        <f>'User Cal. Noise Std'!AD42</f>
        <v>0.12</v>
      </c>
      <c r="Q41" s="2">
        <f>FieldFox!AI41</f>
        <v>0.30000000000000004</v>
      </c>
      <c r="T41" s="2">
        <f>DUT!AH42</f>
        <v>0</v>
      </c>
      <c r="U41" s="2">
        <f>Preamp!AH42</f>
        <v>0</v>
      </c>
      <c r="V41" s="2">
        <f>DUT!AG42</f>
        <v>0.31622776601683794</v>
      </c>
      <c r="W41" s="2">
        <f>Preamp!AG42</f>
        <v>0.28183829312644532</v>
      </c>
    </row>
    <row r="42" spans="1:23">
      <c r="A42" s="2">
        <f>MIN(StopFreqGHz+0.000001,Result!A41+FreqStep)</f>
        <v>19.636000000000003</v>
      </c>
      <c r="B42" s="2">
        <f t="shared" si="1"/>
        <v>21.205360000000002</v>
      </c>
      <c r="C42" s="2">
        <f>DUT!AD43</f>
        <v>20</v>
      </c>
      <c r="D42" s="2">
        <f>DUT!AF43</f>
        <v>0.2</v>
      </c>
      <c r="E42" s="2">
        <f>Preamp!AD43</f>
        <v>21.205360000000002</v>
      </c>
      <c r="F42" s="2">
        <f>Preamp!AE43</f>
        <v>5</v>
      </c>
      <c r="G42" s="2">
        <f>Preamp!AF43</f>
        <v>0.3981071705534972</v>
      </c>
      <c r="H42" s="2">
        <f>20*LOG10(FieldFox!D42)</f>
        <v>-9.5424250943932485</v>
      </c>
      <c r="I42" s="2">
        <f>FieldFox!AJ42</f>
        <v>19.489999999999988</v>
      </c>
      <c r="J42" s="2">
        <f>'Meas. Noise Std'!AA43</f>
        <v>5</v>
      </c>
      <c r="K42" s="2">
        <f>'User Cal. Noise Std'!AA43</f>
        <v>12</v>
      </c>
      <c r="L42" s="2">
        <f>'Meas. Noise Std'!AB43</f>
        <v>0.1</v>
      </c>
      <c r="M42" s="2">
        <f>'Meas. Noise Std'!AC43</f>
        <v>0.1</v>
      </c>
      <c r="N42" s="2">
        <f>'User Cal. Noise Std'!AC43</f>
        <v>0.22</v>
      </c>
      <c r="O42" s="2">
        <f>'Meas. Noise Std'!AD43</f>
        <v>1</v>
      </c>
      <c r="P42" s="2">
        <f>'User Cal. Noise Std'!AD43</f>
        <v>0.12</v>
      </c>
      <c r="Q42" s="2">
        <f>FieldFox!AI42</f>
        <v>0.30000000000000004</v>
      </c>
      <c r="T42" s="2">
        <f>DUT!AH43</f>
        <v>0</v>
      </c>
      <c r="U42" s="2">
        <f>Preamp!AH43</f>
        <v>0</v>
      </c>
      <c r="V42" s="2">
        <f>DUT!AG43</f>
        <v>0.31622776601683794</v>
      </c>
      <c r="W42" s="2">
        <f>Preamp!AG43</f>
        <v>0.28183829312644532</v>
      </c>
    </row>
    <row r="43" spans="1:23">
      <c r="A43" s="2">
        <f>MIN(StopFreqGHz+0.000001,Result!A42+FreqStep)</f>
        <v>20.164000000000001</v>
      </c>
      <c r="B43" s="2">
        <f t="shared" si="1"/>
        <v>21.342640000000003</v>
      </c>
      <c r="C43" s="2">
        <f>DUT!AD44</f>
        <v>20</v>
      </c>
      <c r="D43" s="2">
        <f>DUT!AF44</f>
        <v>0.2</v>
      </c>
      <c r="E43" s="2">
        <f>Preamp!AD44</f>
        <v>21.342640000000003</v>
      </c>
      <c r="F43" s="2">
        <f>Preamp!AE44</f>
        <v>5</v>
      </c>
      <c r="G43" s="2">
        <f>Preamp!AF44</f>
        <v>0.3981071705534972</v>
      </c>
      <c r="H43" s="2">
        <f>20*LOG10(FieldFox!D43)</f>
        <v>-9.5424250943932485</v>
      </c>
      <c r="I43" s="2">
        <f>FieldFox!AJ43</f>
        <v>19.489999999999988</v>
      </c>
      <c r="J43" s="2">
        <f>'Meas. Noise Std'!AA44</f>
        <v>5</v>
      </c>
      <c r="K43" s="2">
        <f>'User Cal. Noise Std'!AA44</f>
        <v>12</v>
      </c>
      <c r="L43" s="2">
        <f>'Meas. Noise Std'!AB44</f>
        <v>0.1</v>
      </c>
      <c r="M43" s="2">
        <f>'Meas. Noise Std'!AC44</f>
        <v>0.1</v>
      </c>
      <c r="N43" s="2">
        <f>'User Cal. Noise Std'!AC44</f>
        <v>0.22</v>
      </c>
      <c r="O43" s="2">
        <f>'Meas. Noise Std'!AD44</f>
        <v>1</v>
      </c>
      <c r="P43" s="2">
        <f>'User Cal. Noise Std'!AD44</f>
        <v>0.12</v>
      </c>
      <c r="Q43" s="2">
        <f>FieldFox!AI43</f>
        <v>0.30000000000000004</v>
      </c>
      <c r="T43" s="2">
        <f>DUT!AH44</f>
        <v>0</v>
      </c>
      <c r="U43" s="2">
        <f>Preamp!AH44</f>
        <v>0</v>
      </c>
      <c r="V43" s="2">
        <f>DUT!AG44</f>
        <v>0.31622776601683794</v>
      </c>
      <c r="W43" s="2">
        <f>Preamp!AG44</f>
        <v>0.28183829312644532</v>
      </c>
    </row>
    <row r="44" spans="1:23">
      <c r="A44" s="2">
        <f>MIN(StopFreqGHz+0.000001,Result!A43+FreqStep)</f>
        <v>20.692</v>
      </c>
      <c r="B44" s="2">
        <f t="shared" si="1"/>
        <v>21.47992</v>
      </c>
      <c r="C44" s="2">
        <f>DUT!AD45</f>
        <v>20</v>
      </c>
      <c r="D44" s="2">
        <f>DUT!AF45</f>
        <v>0.2</v>
      </c>
      <c r="E44" s="2">
        <f>Preamp!AD45</f>
        <v>21.47992</v>
      </c>
      <c r="F44" s="2">
        <f>Preamp!AE45</f>
        <v>5</v>
      </c>
      <c r="G44" s="2">
        <f>Preamp!AF45</f>
        <v>0.3981071705534972</v>
      </c>
      <c r="H44" s="2">
        <f>20*LOG10(FieldFox!D44)</f>
        <v>-9.5424250943932485</v>
      </c>
      <c r="I44" s="2">
        <f>FieldFox!AJ44</f>
        <v>19.489999999999988</v>
      </c>
      <c r="J44" s="2">
        <f>'Meas. Noise Std'!AA45</f>
        <v>5</v>
      </c>
      <c r="K44" s="2">
        <f>'User Cal. Noise Std'!AA45</f>
        <v>12</v>
      </c>
      <c r="L44" s="2">
        <f>'Meas. Noise Std'!AB45</f>
        <v>0.1</v>
      </c>
      <c r="M44" s="2">
        <f>'Meas. Noise Std'!AC45</f>
        <v>0.1</v>
      </c>
      <c r="N44" s="2">
        <f>'User Cal. Noise Std'!AC45</f>
        <v>0.22</v>
      </c>
      <c r="O44" s="2">
        <f>'Meas. Noise Std'!AD45</f>
        <v>1</v>
      </c>
      <c r="P44" s="2">
        <f>'User Cal. Noise Std'!AD45</f>
        <v>0.12</v>
      </c>
      <c r="Q44" s="2">
        <f>FieldFox!AI44</f>
        <v>0.30000000000000004</v>
      </c>
      <c r="T44" s="2">
        <f>DUT!AH45</f>
        <v>0</v>
      </c>
      <c r="U44" s="2">
        <f>Preamp!AH45</f>
        <v>0</v>
      </c>
      <c r="V44" s="2">
        <f>DUT!AG45</f>
        <v>0.31622776601683794</v>
      </c>
      <c r="W44" s="2">
        <f>Preamp!AG45</f>
        <v>0.28183829312644532</v>
      </c>
    </row>
    <row r="45" spans="1:23">
      <c r="A45" s="2">
        <f>MIN(StopFreqGHz+0.000001,Result!A44+FreqStep)</f>
        <v>21.22</v>
      </c>
      <c r="B45" s="2">
        <f t="shared" si="1"/>
        <v>21.6172</v>
      </c>
      <c r="C45" s="2">
        <f>DUT!AD46</f>
        <v>20</v>
      </c>
      <c r="D45" s="2">
        <f>DUT!AF46</f>
        <v>0.2</v>
      </c>
      <c r="E45" s="2">
        <f>Preamp!AD46</f>
        <v>21.6172</v>
      </c>
      <c r="F45" s="2">
        <f>Preamp!AE46</f>
        <v>5</v>
      </c>
      <c r="G45" s="2">
        <f>Preamp!AF46</f>
        <v>0.3981071705534972</v>
      </c>
      <c r="H45" s="2">
        <f>20*LOG10(FieldFox!D45)</f>
        <v>-9.5424250943932485</v>
      </c>
      <c r="I45" s="2">
        <f>FieldFox!AJ45</f>
        <v>19.489999999999988</v>
      </c>
      <c r="J45" s="2">
        <f>'Meas. Noise Std'!AA46</f>
        <v>5</v>
      </c>
      <c r="K45" s="2">
        <f>'User Cal. Noise Std'!AA46</f>
        <v>12</v>
      </c>
      <c r="L45" s="2">
        <f>'Meas. Noise Std'!AB46</f>
        <v>0.1</v>
      </c>
      <c r="M45" s="2">
        <f>'Meas. Noise Std'!AC46</f>
        <v>0.1</v>
      </c>
      <c r="N45" s="2">
        <f>'User Cal. Noise Std'!AC46</f>
        <v>0.22</v>
      </c>
      <c r="O45" s="2">
        <f>'Meas. Noise Std'!AD46</f>
        <v>1</v>
      </c>
      <c r="P45" s="2">
        <f>'User Cal. Noise Std'!AD46</f>
        <v>0.12</v>
      </c>
      <c r="Q45" s="2">
        <f>FieldFox!AI45</f>
        <v>0.30000000000000004</v>
      </c>
      <c r="T45" s="2">
        <f>DUT!AH46</f>
        <v>0</v>
      </c>
      <c r="U45" s="2">
        <f>Preamp!AH46</f>
        <v>0</v>
      </c>
      <c r="V45" s="2">
        <f>DUT!AG46</f>
        <v>0.31622776601683794</v>
      </c>
      <c r="W45" s="2">
        <f>Preamp!AG46</f>
        <v>0.28183829312644532</v>
      </c>
    </row>
    <row r="46" spans="1:23">
      <c r="A46" s="2">
        <f>MIN(StopFreqGHz+0.000001,Result!A45+FreqStep)</f>
        <v>21.747999999999998</v>
      </c>
      <c r="B46" s="2">
        <f t="shared" si="1"/>
        <v>21.754480000000001</v>
      </c>
      <c r="C46" s="2">
        <f>DUT!AD47</f>
        <v>20</v>
      </c>
      <c r="D46" s="2">
        <f>DUT!AF47</f>
        <v>0.2</v>
      </c>
      <c r="E46" s="2">
        <f>Preamp!AD47</f>
        <v>21.754480000000001</v>
      </c>
      <c r="F46" s="2">
        <f>Preamp!AE47</f>
        <v>5</v>
      </c>
      <c r="G46" s="2">
        <f>Preamp!AF47</f>
        <v>0.3981071705534972</v>
      </c>
      <c r="H46" s="2">
        <f>20*LOG10(FieldFox!D46)</f>
        <v>-9.5424250943932485</v>
      </c>
      <c r="I46" s="2">
        <f>FieldFox!AJ46</f>
        <v>19.489999999999988</v>
      </c>
      <c r="J46" s="2">
        <f>'Meas. Noise Std'!AA47</f>
        <v>5</v>
      </c>
      <c r="K46" s="2">
        <f>'User Cal. Noise Std'!AA47</f>
        <v>12</v>
      </c>
      <c r="L46" s="2">
        <f>'Meas. Noise Std'!AB47</f>
        <v>0.1</v>
      </c>
      <c r="M46" s="2">
        <f>'Meas. Noise Std'!AC47</f>
        <v>0.1</v>
      </c>
      <c r="N46" s="2">
        <f>'User Cal. Noise Std'!AC47</f>
        <v>0.22</v>
      </c>
      <c r="O46" s="2">
        <f>'Meas. Noise Std'!AD47</f>
        <v>1</v>
      </c>
      <c r="P46" s="2">
        <f>'User Cal. Noise Std'!AD47</f>
        <v>0.12</v>
      </c>
      <c r="Q46" s="2">
        <f>FieldFox!AI46</f>
        <v>0.30000000000000004</v>
      </c>
      <c r="T46" s="2">
        <f>DUT!AH47</f>
        <v>0</v>
      </c>
      <c r="U46" s="2">
        <f>Preamp!AH47</f>
        <v>0</v>
      </c>
      <c r="V46" s="2">
        <f>DUT!AG47</f>
        <v>0.31622776601683794</v>
      </c>
      <c r="W46" s="2">
        <f>Preamp!AG47</f>
        <v>0.28183829312644532</v>
      </c>
    </row>
    <row r="47" spans="1:23">
      <c r="A47" s="2">
        <f>MIN(StopFreqGHz+0.000001,Result!A46+FreqStep)</f>
        <v>22.275999999999996</v>
      </c>
      <c r="B47" s="2">
        <f t="shared" si="1"/>
        <v>21.891760000000001</v>
      </c>
      <c r="C47" s="2">
        <f>DUT!AD48</f>
        <v>20</v>
      </c>
      <c r="D47" s="2">
        <f>DUT!AF48</f>
        <v>0.2</v>
      </c>
      <c r="E47" s="2">
        <f>Preamp!AD48</f>
        <v>21.891760000000001</v>
      </c>
      <c r="F47" s="2">
        <f>Preamp!AE48</f>
        <v>5</v>
      </c>
      <c r="G47" s="2">
        <f>Preamp!AF48</f>
        <v>0.3981071705534972</v>
      </c>
      <c r="H47" s="2">
        <f>20*LOG10(FieldFox!D47)</f>
        <v>-9.5424250943932485</v>
      </c>
      <c r="I47" s="2">
        <f>FieldFox!AJ47</f>
        <v>21.489999999999988</v>
      </c>
      <c r="J47" s="2">
        <f>'Meas. Noise Std'!AA48</f>
        <v>5</v>
      </c>
      <c r="K47" s="2">
        <f>'User Cal. Noise Std'!AA48</f>
        <v>12</v>
      </c>
      <c r="L47" s="2">
        <f>'Meas. Noise Std'!AB48</f>
        <v>0.1</v>
      </c>
      <c r="M47" s="2">
        <f>'Meas. Noise Std'!AC48</f>
        <v>0.1</v>
      </c>
      <c r="N47" s="2">
        <f>'User Cal. Noise Std'!AC48</f>
        <v>0.22</v>
      </c>
      <c r="O47" s="2">
        <f>'Meas. Noise Std'!AD48</f>
        <v>1</v>
      </c>
      <c r="P47" s="2">
        <f>'User Cal. Noise Std'!AD48</f>
        <v>0.12</v>
      </c>
      <c r="Q47" s="2">
        <f>FieldFox!AI47</f>
        <v>0.30000000000000004</v>
      </c>
      <c r="T47" s="2">
        <f>DUT!AH48</f>
        <v>0</v>
      </c>
      <c r="U47" s="2">
        <f>Preamp!AH48</f>
        <v>0</v>
      </c>
      <c r="V47" s="2">
        <f>DUT!AG48</f>
        <v>0.31622776601683794</v>
      </c>
      <c r="W47" s="2">
        <f>Preamp!AG48</f>
        <v>0.28183829312644532</v>
      </c>
    </row>
    <row r="48" spans="1:23">
      <c r="A48" s="2">
        <f>MIN(StopFreqGHz+0.000001,Result!A47+FreqStep)</f>
        <v>22.803999999999995</v>
      </c>
      <c r="B48" s="2">
        <f t="shared" si="1"/>
        <v>22.029040000000002</v>
      </c>
      <c r="C48" s="2">
        <f>DUT!AD49</f>
        <v>20</v>
      </c>
      <c r="D48" s="2">
        <f>DUT!AF49</f>
        <v>0.2</v>
      </c>
      <c r="E48" s="2">
        <f>Preamp!AD49</f>
        <v>22.029040000000002</v>
      </c>
      <c r="F48" s="2">
        <f>Preamp!AE49</f>
        <v>5</v>
      </c>
      <c r="G48" s="2">
        <f>Preamp!AF49</f>
        <v>0.3981071705534972</v>
      </c>
      <c r="H48" s="2">
        <f>20*LOG10(FieldFox!D48)</f>
        <v>-9.5424250943932485</v>
      </c>
      <c r="I48" s="2">
        <f>FieldFox!AJ48</f>
        <v>21.489999999999988</v>
      </c>
      <c r="J48" s="2">
        <f>'Meas. Noise Std'!AA49</f>
        <v>5</v>
      </c>
      <c r="K48" s="2">
        <f>'User Cal. Noise Std'!AA49</f>
        <v>12</v>
      </c>
      <c r="L48" s="2">
        <f>'Meas. Noise Std'!AB49</f>
        <v>0.1</v>
      </c>
      <c r="M48" s="2">
        <f>'Meas. Noise Std'!AC49</f>
        <v>0.1</v>
      </c>
      <c r="N48" s="2">
        <f>'User Cal. Noise Std'!AC49</f>
        <v>0.22</v>
      </c>
      <c r="O48" s="2">
        <f>'Meas. Noise Std'!AD49</f>
        <v>1</v>
      </c>
      <c r="P48" s="2">
        <f>'User Cal. Noise Std'!AD49</f>
        <v>0.12</v>
      </c>
      <c r="Q48" s="2">
        <f>FieldFox!AI48</f>
        <v>0.30000000000000004</v>
      </c>
      <c r="T48" s="2">
        <f>DUT!AH49</f>
        <v>0</v>
      </c>
      <c r="U48" s="2">
        <f>Preamp!AH49</f>
        <v>0</v>
      </c>
      <c r="V48" s="2">
        <f>DUT!AG49</f>
        <v>0.31622776601683794</v>
      </c>
      <c r="W48" s="2">
        <f>Preamp!AG49</f>
        <v>0.28183829312644532</v>
      </c>
    </row>
    <row r="49" spans="1:23">
      <c r="A49" s="2">
        <f>MIN(StopFreqGHz+0.000001,Result!A48+FreqStep)</f>
        <v>23.331999999999994</v>
      </c>
      <c r="B49" s="2">
        <f t="shared" si="1"/>
        <v>22.166319999999999</v>
      </c>
      <c r="C49" s="2">
        <f>DUT!AD50</f>
        <v>20</v>
      </c>
      <c r="D49" s="2">
        <f>DUT!AF50</f>
        <v>0.2</v>
      </c>
      <c r="E49" s="2">
        <f>Preamp!AD50</f>
        <v>22.166319999999999</v>
      </c>
      <c r="F49" s="2">
        <f>Preamp!AE50</f>
        <v>5</v>
      </c>
      <c r="G49" s="2">
        <f>Preamp!AF50</f>
        <v>0.3981071705534972</v>
      </c>
      <c r="H49" s="2">
        <f>20*LOG10(FieldFox!D49)</f>
        <v>-9.5424250943932485</v>
      </c>
      <c r="I49" s="2">
        <f>FieldFox!AJ49</f>
        <v>21.489999999999988</v>
      </c>
      <c r="J49" s="2">
        <f>'Meas. Noise Std'!AA50</f>
        <v>5</v>
      </c>
      <c r="K49" s="2">
        <f>'User Cal. Noise Std'!AA50</f>
        <v>12</v>
      </c>
      <c r="L49" s="2">
        <f>'Meas. Noise Std'!AB50</f>
        <v>0.1</v>
      </c>
      <c r="M49" s="2">
        <f>'Meas. Noise Std'!AC50</f>
        <v>0.1</v>
      </c>
      <c r="N49" s="2">
        <f>'User Cal. Noise Std'!AC50</f>
        <v>0.22</v>
      </c>
      <c r="O49" s="2">
        <f>'Meas. Noise Std'!AD50</f>
        <v>1</v>
      </c>
      <c r="P49" s="2">
        <f>'User Cal. Noise Std'!AD50</f>
        <v>0.12</v>
      </c>
      <c r="Q49" s="2">
        <f>FieldFox!AI49</f>
        <v>0.30000000000000004</v>
      </c>
      <c r="T49" s="2">
        <f>DUT!AH50</f>
        <v>0</v>
      </c>
      <c r="U49" s="2">
        <f>Preamp!AH50</f>
        <v>0</v>
      </c>
      <c r="V49" s="2">
        <f>DUT!AG50</f>
        <v>0.31622776601683794</v>
      </c>
      <c r="W49" s="2">
        <f>Preamp!AG50</f>
        <v>0.28183829312644532</v>
      </c>
    </row>
    <row r="50" spans="1:23">
      <c r="A50" s="2">
        <f>MIN(StopFreqGHz+0.000001,Result!A49+FreqStep)</f>
        <v>23.859999999999992</v>
      </c>
      <c r="B50" s="2">
        <f t="shared" si="1"/>
        <v>22.303599999999999</v>
      </c>
      <c r="C50" s="2">
        <f>DUT!AD51</f>
        <v>20</v>
      </c>
      <c r="D50" s="2">
        <f>DUT!AF51</f>
        <v>0.2</v>
      </c>
      <c r="E50" s="2">
        <f>Preamp!AD51</f>
        <v>22.303599999999999</v>
      </c>
      <c r="F50" s="2">
        <f>Preamp!AE51</f>
        <v>5</v>
      </c>
      <c r="G50" s="2">
        <f>Preamp!AF51</f>
        <v>0.3981071705534972</v>
      </c>
      <c r="H50" s="2">
        <f>20*LOG10(FieldFox!D50)</f>
        <v>-9.5424250943932485</v>
      </c>
      <c r="I50" s="2">
        <f>FieldFox!AJ50</f>
        <v>21.489999999999988</v>
      </c>
      <c r="J50" s="2">
        <f>'Meas. Noise Std'!AA51</f>
        <v>5</v>
      </c>
      <c r="K50" s="2">
        <f>'User Cal. Noise Std'!AA51</f>
        <v>12</v>
      </c>
      <c r="L50" s="2">
        <f>'Meas. Noise Std'!AB51</f>
        <v>0.1</v>
      </c>
      <c r="M50" s="2">
        <f>'Meas. Noise Std'!AC51</f>
        <v>0.1</v>
      </c>
      <c r="N50" s="2">
        <f>'User Cal. Noise Std'!AC51</f>
        <v>0.22</v>
      </c>
      <c r="O50" s="2">
        <f>'Meas. Noise Std'!AD51</f>
        <v>1</v>
      </c>
      <c r="P50" s="2">
        <f>'User Cal. Noise Std'!AD51</f>
        <v>0.12</v>
      </c>
      <c r="Q50" s="2">
        <f>FieldFox!AI50</f>
        <v>0.30000000000000004</v>
      </c>
      <c r="T50" s="2">
        <f>DUT!AH51</f>
        <v>0</v>
      </c>
      <c r="U50" s="2">
        <f>Preamp!AH51</f>
        <v>0</v>
      </c>
      <c r="V50" s="2">
        <f>DUT!AG51</f>
        <v>0.31622776601683794</v>
      </c>
      <c r="W50" s="2">
        <f>Preamp!AG51</f>
        <v>0.28183829312644532</v>
      </c>
    </row>
    <row r="51" spans="1:23">
      <c r="A51" s="2">
        <f>MIN(StopFreqGHz+0.000001,Result!A50+FreqStep)</f>
        <v>24.387999999999991</v>
      </c>
      <c r="B51" s="2">
        <f t="shared" si="1"/>
        <v>22.44088</v>
      </c>
      <c r="C51" s="2">
        <f>DUT!AD52</f>
        <v>20</v>
      </c>
      <c r="D51" s="2">
        <f>DUT!AF52</f>
        <v>0.2</v>
      </c>
      <c r="E51" s="2">
        <f>Preamp!AD52</f>
        <v>22.44088</v>
      </c>
      <c r="F51" s="2">
        <f>Preamp!AE52</f>
        <v>5</v>
      </c>
      <c r="G51" s="2">
        <f>Preamp!AF52</f>
        <v>0.3981071705534972</v>
      </c>
      <c r="H51" s="2">
        <f>20*LOG10(FieldFox!D51)</f>
        <v>-9.5424250943932485</v>
      </c>
      <c r="I51" s="2">
        <f>FieldFox!AJ51</f>
        <v>21.489999999999988</v>
      </c>
      <c r="J51" s="2">
        <f>'Meas. Noise Std'!AA52</f>
        <v>5</v>
      </c>
      <c r="K51" s="2">
        <f>'User Cal. Noise Std'!AA52</f>
        <v>12</v>
      </c>
      <c r="L51" s="2">
        <f>'Meas. Noise Std'!AB52</f>
        <v>0.1</v>
      </c>
      <c r="M51" s="2">
        <f>'Meas. Noise Std'!AC52</f>
        <v>0.1</v>
      </c>
      <c r="N51" s="2">
        <f>'User Cal. Noise Std'!AC52</f>
        <v>0.22</v>
      </c>
      <c r="O51" s="2">
        <f>'Meas. Noise Std'!AD52</f>
        <v>1</v>
      </c>
      <c r="P51" s="2">
        <f>'User Cal. Noise Std'!AD52</f>
        <v>0.12</v>
      </c>
      <c r="Q51" s="2">
        <f>FieldFox!AI51</f>
        <v>0.30000000000000004</v>
      </c>
      <c r="T51" s="2">
        <f>DUT!AH52</f>
        <v>0</v>
      </c>
      <c r="U51" s="2">
        <f>Preamp!AH52</f>
        <v>0</v>
      </c>
      <c r="V51" s="2">
        <f>DUT!AG52</f>
        <v>0.31622776601683794</v>
      </c>
      <c r="W51" s="2">
        <f>Preamp!AG52</f>
        <v>0.28183829312644532</v>
      </c>
    </row>
    <row r="52" spans="1:23">
      <c r="A52" s="2">
        <f>MIN(StopFreqGHz+0.000001,Result!A51+FreqStep)</f>
        <v>24.91599999999999</v>
      </c>
      <c r="B52" s="2">
        <f t="shared" si="1"/>
        <v>22.578159999999997</v>
      </c>
      <c r="C52" s="2">
        <f>DUT!AD53</f>
        <v>20</v>
      </c>
      <c r="D52" s="2">
        <f>DUT!AF53</f>
        <v>0.2</v>
      </c>
      <c r="E52" s="2">
        <f>Preamp!AD53</f>
        <v>22.578159999999997</v>
      </c>
      <c r="F52" s="2">
        <f>Preamp!AE53</f>
        <v>5</v>
      </c>
      <c r="G52" s="2">
        <f>Preamp!AF53</f>
        <v>0.3981071705534972</v>
      </c>
      <c r="H52" s="2">
        <f>20*LOG10(FieldFox!D52)</f>
        <v>-9.5424250943932485</v>
      </c>
      <c r="I52" s="2">
        <f>FieldFox!AJ52</f>
        <v>21.489999999999988</v>
      </c>
      <c r="J52" s="2">
        <f>'Meas. Noise Std'!AA53</f>
        <v>5</v>
      </c>
      <c r="K52" s="2">
        <f>'User Cal. Noise Std'!AA53</f>
        <v>12</v>
      </c>
      <c r="L52" s="2">
        <f>'Meas. Noise Std'!AB53</f>
        <v>0.1</v>
      </c>
      <c r="M52" s="2">
        <f>'Meas. Noise Std'!AC53</f>
        <v>0.1</v>
      </c>
      <c r="N52" s="2">
        <f>'User Cal. Noise Std'!AC53</f>
        <v>0.22</v>
      </c>
      <c r="O52" s="2">
        <f>'Meas. Noise Std'!AD53</f>
        <v>1</v>
      </c>
      <c r="P52" s="2">
        <f>'User Cal. Noise Std'!AD53</f>
        <v>0.12</v>
      </c>
      <c r="Q52" s="2">
        <f>FieldFox!AI52</f>
        <v>0.30000000000000004</v>
      </c>
      <c r="T52" s="2">
        <f>DUT!AH53</f>
        <v>0</v>
      </c>
      <c r="U52" s="2">
        <f>Preamp!AH53</f>
        <v>0</v>
      </c>
      <c r="V52" s="2">
        <f>DUT!AG53</f>
        <v>0.31622776601683794</v>
      </c>
      <c r="W52" s="2">
        <f>Preamp!AG53</f>
        <v>0.28183829312644532</v>
      </c>
    </row>
    <row r="53" spans="1:23">
      <c r="A53" s="2">
        <f>MIN(StopFreqGHz+0.000001,Result!A52+FreqStep)</f>
        <v>25.443999999999988</v>
      </c>
      <c r="B53" s="2">
        <f t="shared" si="1"/>
        <v>22.715439999999997</v>
      </c>
      <c r="C53" s="2">
        <f>DUT!AD54</f>
        <v>20</v>
      </c>
      <c r="D53" s="2">
        <f>DUT!AF54</f>
        <v>0.2</v>
      </c>
      <c r="E53" s="2">
        <f>Preamp!AD54</f>
        <v>22.715439999999997</v>
      </c>
      <c r="F53" s="2">
        <f>Preamp!AE54</f>
        <v>5</v>
      </c>
      <c r="G53" s="2">
        <f>Preamp!AF54</f>
        <v>0.3981071705534972</v>
      </c>
      <c r="H53" s="2">
        <f>20*LOG10(FieldFox!D53)</f>
        <v>-9.5424250943932485</v>
      </c>
      <c r="I53" s="2">
        <f>FieldFox!AJ53</f>
        <v>24.489999999999988</v>
      </c>
      <c r="J53" s="2">
        <f>'Meas. Noise Std'!AA54</f>
        <v>5</v>
      </c>
      <c r="K53" s="2">
        <f>'User Cal. Noise Std'!AA54</f>
        <v>12</v>
      </c>
      <c r="L53" s="2">
        <f>'Meas. Noise Std'!AB54</f>
        <v>0.1</v>
      </c>
      <c r="M53" s="2">
        <f>'Meas. Noise Std'!AC54</f>
        <v>0.1</v>
      </c>
      <c r="N53" s="2">
        <f>'User Cal. Noise Std'!AC54</f>
        <v>0.22</v>
      </c>
      <c r="O53" s="2">
        <f>'Meas. Noise Std'!AD54</f>
        <v>1</v>
      </c>
      <c r="P53" s="2">
        <f>'User Cal. Noise Std'!AD54</f>
        <v>0.12</v>
      </c>
      <c r="Q53" s="2">
        <f>FieldFox!AI53</f>
        <v>0.30000000000000004</v>
      </c>
      <c r="T53" s="2">
        <f>DUT!AH54</f>
        <v>0</v>
      </c>
      <c r="U53" s="2">
        <f>Preamp!AH54</f>
        <v>0</v>
      </c>
      <c r="V53" s="2">
        <f>DUT!AG54</f>
        <v>0.31622776601683794</v>
      </c>
      <c r="W53" s="2">
        <f>Preamp!AG54</f>
        <v>0.28183829312644532</v>
      </c>
    </row>
    <row r="54" spans="1:23">
      <c r="A54" s="2">
        <f>MIN(StopFreqGHz+0.000001,Result!A53+FreqStep)</f>
        <v>25.971999999999987</v>
      </c>
      <c r="B54" s="2">
        <f t="shared" si="1"/>
        <v>22.852719999999998</v>
      </c>
      <c r="C54" s="2">
        <f>DUT!AD55</f>
        <v>20</v>
      </c>
      <c r="D54" s="2">
        <f>DUT!AF55</f>
        <v>0.2</v>
      </c>
      <c r="E54" s="2">
        <f>Preamp!AD55</f>
        <v>22.852719999999998</v>
      </c>
      <c r="F54" s="2">
        <f>Preamp!AE55</f>
        <v>5</v>
      </c>
      <c r="G54" s="2">
        <f>Preamp!AF55</f>
        <v>0.3981071705534972</v>
      </c>
      <c r="H54" s="2">
        <f>20*LOG10(FieldFox!D54)</f>
        <v>-9.5424250943932485</v>
      </c>
      <c r="I54" s="2">
        <f>FieldFox!AJ54</f>
        <v>24.489999999999988</v>
      </c>
      <c r="J54" s="2">
        <f>'Meas. Noise Std'!AA55</f>
        <v>5</v>
      </c>
      <c r="K54" s="2">
        <f>'User Cal. Noise Std'!AA55</f>
        <v>12</v>
      </c>
      <c r="L54" s="2">
        <f>'Meas. Noise Std'!AB55</f>
        <v>0.1</v>
      </c>
      <c r="M54" s="2">
        <f>'Meas. Noise Std'!AC55</f>
        <v>0.1</v>
      </c>
      <c r="N54" s="2">
        <f>'User Cal. Noise Std'!AC55</f>
        <v>0.22</v>
      </c>
      <c r="O54" s="2">
        <f>'Meas. Noise Std'!AD55</f>
        <v>1</v>
      </c>
      <c r="P54" s="2">
        <f>'User Cal. Noise Std'!AD55</f>
        <v>0.12</v>
      </c>
      <c r="Q54" s="2">
        <f>FieldFox!AI54</f>
        <v>0.30000000000000004</v>
      </c>
      <c r="T54" s="2">
        <f>DUT!AH55</f>
        <v>0</v>
      </c>
      <c r="U54" s="2">
        <f>Preamp!AH55</f>
        <v>0</v>
      </c>
      <c r="V54" s="2">
        <f>DUT!AG55</f>
        <v>0.31622776601683794</v>
      </c>
      <c r="W54" s="2">
        <f>Preamp!AG55</f>
        <v>0.28183829312644532</v>
      </c>
    </row>
    <row r="55" spans="1:23">
      <c r="A55" s="2">
        <f>MIN(StopFreqGHz+0.000001,Result!A54+FreqStep)</f>
        <v>26.499999999999986</v>
      </c>
      <c r="B55" s="2">
        <f t="shared" si="1"/>
        <v>22.99</v>
      </c>
      <c r="C55" s="2">
        <f>DUT!AD56</f>
        <v>20</v>
      </c>
      <c r="D55" s="2">
        <f>DUT!AF56</f>
        <v>0.2</v>
      </c>
      <c r="E55" s="2">
        <f>Preamp!AD56</f>
        <v>22.99</v>
      </c>
      <c r="F55" s="2">
        <f>Preamp!AE56</f>
        <v>5</v>
      </c>
      <c r="G55" s="2">
        <f>Preamp!AF56</f>
        <v>0.3981071705534972</v>
      </c>
      <c r="H55" s="2">
        <f>20*LOG10(FieldFox!D55)</f>
        <v>-9.5424250943932485</v>
      </c>
      <c r="I55" s="2">
        <f>FieldFox!AJ55</f>
        <v>24.489999999999988</v>
      </c>
      <c r="J55" s="2">
        <f>'Meas. Noise Std'!AA56</f>
        <v>5</v>
      </c>
      <c r="K55" s="2">
        <f>'User Cal. Noise Std'!AA56</f>
        <v>12</v>
      </c>
      <c r="L55" s="2">
        <f>'Meas. Noise Std'!AB56</f>
        <v>0.1</v>
      </c>
      <c r="M55" s="2">
        <f>'Meas. Noise Std'!AC56</f>
        <v>0.1</v>
      </c>
      <c r="N55" s="2">
        <f>'User Cal. Noise Std'!AC56</f>
        <v>0.22</v>
      </c>
      <c r="O55" s="2">
        <f>'Meas. Noise Std'!AD56</f>
        <v>1</v>
      </c>
      <c r="P55" s="2">
        <f>'User Cal. Noise Std'!AD56</f>
        <v>0.12</v>
      </c>
      <c r="Q55" s="2">
        <f>FieldFox!AI55</f>
        <v>0.30000000000000004</v>
      </c>
      <c r="T55" s="2">
        <f>DUT!AH56</f>
        <v>0</v>
      </c>
      <c r="U55" s="2">
        <f>Preamp!AH56</f>
        <v>0</v>
      </c>
      <c r="V55" s="2">
        <f>DUT!AG56</f>
        <v>0.31622776601683794</v>
      </c>
      <c r="W55" s="2">
        <f>Preamp!AG56</f>
        <v>0.28183829312644532</v>
      </c>
    </row>
    <row r="56" spans="1:23">
      <c r="A56" s="2">
        <f>MIN(StopFreqGHz+0.000001,Result!A55+FreqStep)</f>
        <v>26.500001000000001</v>
      </c>
      <c r="B56" s="2">
        <f t="shared" si="1"/>
        <v>22.990000260000002</v>
      </c>
      <c r="C56" s="2">
        <f>DUT!AD57</f>
        <v>20</v>
      </c>
      <c r="D56" s="2">
        <f>DUT!AF57</f>
        <v>0.2</v>
      </c>
      <c r="E56" s="2">
        <f>Preamp!AD57</f>
        <v>22.990000260000002</v>
      </c>
      <c r="F56" s="2">
        <f>Preamp!AE57</f>
        <v>5</v>
      </c>
      <c r="G56" s="2">
        <f>Preamp!AF57</f>
        <v>0.3981071705534972</v>
      </c>
      <c r="H56" s="2">
        <f>20*LOG10(FieldFox!D56)</f>
        <v>-9.5424250943932485</v>
      </c>
      <c r="I56" s="2">
        <f>FieldFox!AJ56</f>
        <v>24.489999999999988</v>
      </c>
      <c r="J56" s="2">
        <f>'Meas. Noise Std'!AA57</f>
        <v>5</v>
      </c>
      <c r="K56" s="2">
        <f>'User Cal. Noise Std'!AA57</f>
        <v>12</v>
      </c>
      <c r="L56" s="2">
        <f>'Meas. Noise Std'!AB57</f>
        <v>0.1</v>
      </c>
      <c r="M56" s="2">
        <f>'Meas. Noise Std'!AC57</f>
        <v>0.1</v>
      </c>
      <c r="N56" s="2">
        <f>'User Cal. Noise Std'!AC57</f>
        <v>0.22</v>
      </c>
      <c r="O56" s="2">
        <f>'Meas. Noise Std'!AD57</f>
        <v>1</v>
      </c>
      <c r="P56" s="2">
        <f>'User Cal. Noise Std'!AD57</f>
        <v>0.12</v>
      </c>
      <c r="Q56" s="2">
        <f>FieldFox!AI56</f>
        <v>0.30000000000000004</v>
      </c>
      <c r="T56" s="2">
        <f>DUT!AH57</f>
        <v>0</v>
      </c>
      <c r="U56" s="2">
        <f>Preamp!AH57</f>
        <v>0</v>
      </c>
      <c r="V56" s="2">
        <f>DUT!AG57</f>
        <v>0.31622776601683794</v>
      </c>
    </row>
    <row r="57" spans="1:23">
      <c r="A57" s="2">
        <f>MIN(StopFreqGHz+0.000001,Result!A56+FreqStep)</f>
        <v>26.500001000000001</v>
      </c>
      <c r="B57" s="2">
        <f t="shared" si="1"/>
        <v>22.990000260000002</v>
      </c>
      <c r="C57" s="2">
        <f>DUT!AD58</f>
        <v>20</v>
      </c>
      <c r="D57" s="2">
        <f>DUT!AF58</f>
        <v>0.2</v>
      </c>
      <c r="E57" s="2">
        <f>Preamp!AD58</f>
        <v>22.990000260000002</v>
      </c>
      <c r="F57" s="2">
        <f>Preamp!AE58</f>
        <v>5</v>
      </c>
      <c r="G57" s="2">
        <f>Preamp!AF58</f>
        <v>0.3981071705534972</v>
      </c>
      <c r="H57" s="2">
        <f>20*LOG10(FieldFox!D57)</f>
        <v>-9.5424250943932485</v>
      </c>
      <c r="I57" s="2">
        <f>FieldFox!AJ57</f>
        <v>24.489999999999988</v>
      </c>
      <c r="J57" s="2">
        <f>'Meas. Noise Std'!AA58</f>
        <v>5</v>
      </c>
      <c r="K57" s="2">
        <f>'User Cal. Noise Std'!AA58</f>
        <v>12</v>
      </c>
      <c r="L57" s="2">
        <f>'Meas. Noise Std'!AB58</f>
        <v>0.1</v>
      </c>
      <c r="M57" s="2">
        <f>'Meas. Noise Std'!AC58</f>
        <v>0.1</v>
      </c>
      <c r="N57" s="2">
        <f>'User Cal. Noise Std'!AC58</f>
        <v>0.22</v>
      </c>
      <c r="O57" s="2">
        <f>'Meas. Noise Std'!AD58</f>
        <v>1</v>
      </c>
      <c r="P57" s="2">
        <f>'User Cal. Noise Std'!AD58</f>
        <v>0.12</v>
      </c>
      <c r="Q57" s="2">
        <f>FieldFox!AI57</f>
        <v>0.30000000000000004</v>
      </c>
      <c r="T57" s="2">
        <f>DUT!AH58</f>
        <v>0</v>
      </c>
      <c r="U57" s="2">
        <f>Preamp!AH58</f>
        <v>0</v>
      </c>
      <c r="V57" s="2">
        <f>DUT!AG58</f>
        <v>0.31622776601683794</v>
      </c>
    </row>
    <row r="58" spans="1:23">
      <c r="A58" s="2">
        <f>MIN(StopFreqGHz+0.000001,Result!A57+FreqStep)</f>
        <v>26.500001000000001</v>
      </c>
      <c r="B58" s="2">
        <f t="shared" si="1"/>
        <v>22.990000260000002</v>
      </c>
      <c r="C58" s="2">
        <f>DUT!AD59</f>
        <v>20</v>
      </c>
      <c r="D58" s="2">
        <f>DUT!AF59</f>
        <v>0.2</v>
      </c>
      <c r="E58" s="2">
        <f>Preamp!AD59</f>
        <v>22.990000260000002</v>
      </c>
      <c r="F58" s="2">
        <f>Preamp!AE59</f>
        <v>5</v>
      </c>
      <c r="G58" s="2">
        <f>Preamp!AF59</f>
        <v>0.3981071705534972</v>
      </c>
      <c r="H58" s="2">
        <f>20*LOG10(FieldFox!D58)</f>
        <v>-9.5424250943932485</v>
      </c>
      <c r="I58" s="2">
        <f>FieldFox!AJ58</f>
        <v>24.489999999999988</v>
      </c>
      <c r="J58" s="2">
        <f>'Meas. Noise Std'!AA59</f>
        <v>5</v>
      </c>
      <c r="K58" s="2">
        <f>'User Cal. Noise Std'!AA59</f>
        <v>12</v>
      </c>
      <c r="L58" s="2">
        <f>'Meas. Noise Std'!AB59</f>
        <v>0.1</v>
      </c>
      <c r="M58" s="2">
        <f>'Meas. Noise Std'!AC59</f>
        <v>0.1</v>
      </c>
      <c r="N58" s="2">
        <f>'User Cal. Noise Std'!AC59</f>
        <v>0.22</v>
      </c>
      <c r="O58" s="2">
        <f>'Meas. Noise Std'!AD59</f>
        <v>1</v>
      </c>
      <c r="P58" s="2">
        <f>'User Cal. Noise Std'!AD59</f>
        <v>0.12</v>
      </c>
      <c r="Q58" s="2">
        <f>FieldFox!AI58</f>
        <v>0.30000000000000004</v>
      </c>
      <c r="T58" s="2">
        <f>DUT!AH59</f>
        <v>0</v>
      </c>
      <c r="U58" s="2">
        <f>Preamp!AH59</f>
        <v>0</v>
      </c>
      <c r="V58" s="2">
        <f>DUT!AG59</f>
        <v>0.31622776601683794</v>
      </c>
    </row>
    <row r="59" spans="1:23">
      <c r="A59" s="2">
        <f>MIN(StopFreqGHz+0.000001,Result!A58+FreqStep)</f>
        <v>26.500001000000001</v>
      </c>
      <c r="B59" s="2">
        <f t="shared" si="1"/>
        <v>22.990000260000002</v>
      </c>
      <c r="C59" s="2">
        <f>DUT!AD60</f>
        <v>20</v>
      </c>
      <c r="D59" s="2">
        <f>DUT!AF60</f>
        <v>0.2</v>
      </c>
      <c r="E59" s="2">
        <f>Preamp!AD60</f>
        <v>22.990000260000002</v>
      </c>
      <c r="F59" s="2">
        <f>Preamp!AE60</f>
        <v>5</v>
      </c>
      <c r="G59" s="2">
        <f>Preamp!AF60</f>
        <v>0.3981071705534972</v>
      </c>
      <c r="H59" s="2">
        <f>20*LOG10(FieldFox!D59)</f>
        <v>-9.5424250943932485</v>
      </c>
      <c r="I59" s="2">
        <f>FieldFox!AJ59</f>
        <v>24.489999999999988</v>
      </c>
      <c r="J59" s="2">
        <f>'Meas. Noise Std'!AA60</f>
        <v>5</v>
      </c>
      <c r="K59" s="2">
        <f>'User Cal. Noise Std'!AA60</f>
        <v>12</v>
      </c>
      <c r="L59" s="2">
        <f>'Meas. Noise Std'!AB60</f>
        <v>0.1</v>
      </c>
      <c r="M59" s="2">
        <f>'Meas. Noise Std'!AC60</f>
        <v>0.1</v>
      </c>
      <c r="N59" s="2">
        <f>'User Cal. Noise Std'!AC60</f>
        <v>0.22</v>
      </c>
      <c r="O59" s="2">
        <f>'Meas. Noise Std'!AD60</f>
        <v>1</v>
      </c>
      <c r="P59" s="2">
        <f>'User Cal. Noise Std'!AD60</f>
        <v>0.12</v>
      </c>
      <c r="Q59" s="2">
        <f>FieldFox!AI59</f>
        <v>0.30000000000000004</v>
      </c>
      <c r="T59" s="2">
        <f>DUT!AH60</f>
        <v>0</v>
      </c>
      <c r="U59" s="2">
        <f>Preamp!AH60</f>
        <v>0</v>
      </c>
      <c r="V59" s="2">
        <f>DUT!AG60</f>
        <v>0.31622776601683794</v>
      </c>
    </row>
    <row r="60" spans="1:23">
      <c r="A60" s="2">
        <f>MIN(StopFreqGHz+0.000001,Result!A59+FreqStep)</f>
        <v>26.500001000000001</v>
      </c>
      <c r="B60" s="2">
        <f t="shared" si="1"/>
        <v>22.990000260000002</v>
      </c>
      <c r="C60" s="2">
        <f>DUT!AD61</f>
        <v>20</v>
      </c>
      <c r="D60" s="2">
        <f>DUT!AF61</f>
        <v>0.2</v>
      </c>
      <c r="E60" s="2">
        <f>Preamp!AD61</f>
        <v>22.990000260000002</v>
      </c>
      <c r="F60" s="2">
        <f>Preamp!AE61</f>
        <v>5</v>
      </c>
      <c r="G60" s="2">
        <f>Preamp!AF61</f>
        <v>0.3981071705534972</v>
      </c>
      <c r="H60" s="2">
        <f>20*LOG10(FieldFox!D60)</f>
        <v>-9.5424250943932485</v>
      </c>
      <c r="I60" s="2">
        <f>FieldFox!AJ60</f>
        <v>24.489999999999988</v>
      </c>
      <c r="J60" s="2">
        <f>'Meas. Noise Std'!AA61</f>
        <v>5</v>
      </c>
      <c r="K60" s="2">
        <f>'User Cal. Noise Std'!AA61</f>
        <v>12</v>
      </c>
      <c r="L60" s="2">
        <f>'Meas. Noise Std'!AB61</f>
        <v>0.1</v>
      </c>
      <c r="M60" s="2">
        <f>'Meas. Noise Std'!AC61</f>
        <v>0.1</v>
      </c>
      <c r="N60" s="2">
        <f>'User Cal. Noise Std'!AC61</f>
        <v>0.22</v>
      </c>
      <c r="O60" s="2">
        <f>'Meas. Noise Std'!AD61</f>
        <v>1</v>
      </c>
      <c r="P60" s="2">
        <f>'User Cal. Noise Std'!AD61</f>
        <v>0.12</v>
      </c>
      <c r="Q60" s="2">
        <f>FieldFox!AI60</f>
        <v>0.30000000000000004</v>
      </c>
      <c r="T60" s="2">
        <f>DUT!AH61</f>
        <v>0</v>
      </c>
      <c r="U60" s="2">
        <f>Preamp!AH61</f>
        <v>0</v>
      </c>
      <c r="V60" s="2">
        <f>DUT!AG61</f>
        <v>0.31622776601683794</v>
      </c>
    </row>
    <row r="61" spans="1:23">
      <c r="A61" s="2">
        <f>MIN(StopFreqGHz+0.000001,Result!A60+FreqStep)</f>
        <v>26.500001000000001</v>
      </c>
      <c r="B61" s="2">
        <f t="shared" si="1"/>
        <v>22.990000260000002</v>
      </c>
      <c r="C61" s="2">
        <f>DUT!AD62</f>
        <v>20</v>
      </c>
      <c r="D61" s="2">
        <f>DUT!AF62</f>
        <v>0.2</v>
      </c>
      <c r="E61" s="2">
        <f>Preamp!AD62</f>
        <v>22.990000260000002</v>
      </c>
      <c r="F61" s="2">
        <f>Preamp!AE62</f>
        <v>5</v>
      </c>
      <c r="G61" s="2">
        <f>Preamp!AF62</f>
        <v>0.3981071705534972</v>
      </c>
      <c r="H61" s="2">
        <f>20*LOG10(FieldFox!D61)</f>
        <v>-9.5424250943932485</v>
      </c>
      <c r="I61" s="2">
        <f>FieldFox!AJ61</f>
        <v>24.489999999999988</v>
      </c>
      <c r="J61" s="2">
        <f>'Meas. Noise Std'!AA62</f>
        <v>5</v>
      </c>
      <c r="K61" s="2">
        <f>'User Cal. Noise Std'!AA62</f>
        <v>12</v>
      </c>
      <c r="L61" s="2">
        <f>'Meas. Noise Std'!AB62</f>
        <v>0.1</v>
      </c>
      <c r="M61" s="2">
        <f>'Meas. Noise Std'!AC62</f>
        <v>0.1</v>
      </c>
      <c r="N61" s="2">
        <f>'User Cal. Noise Std'!AC62</f>
        <v>0.22</v>
      </c>
      <c r="O61" s="2">
        <f>'Meas. Noise Std'!AD62</f>
        <v>1</v>
      </c>
      <c r="P61" s="2">
        <f>'User Cal. Noise Std'!AD62</f>
        <v>0.12</v>
      </c>
      <c r="Q61" s="2">
        <f>FieldFox!AI61</f>
        <v>0.30000000000000004</v>
      </c>
      <c r="T61" s="2">
        <f>DUT!AH62</f>
        <v>0</v>
      </c>
      <c r="U61" s="2">
        <f>Preamp!AH62</f>
        <v>0</v>
      </c>
      <c r="V61" s="2">
        <f>DUT!AG62</f>
        <v>0.31622776601683794</v>
      </c>
    </row>
    <row r="62" spans="1:23">
      <c r="A62" s="2">
        <f>MIN(StopFreqGHz+0.000001,Result!A61+FreqStep)</f>
        <v>26.500001000000001</v>
      </c>
      <c r="B62" s="2">
        <f t="shared" si="1"/>
        <v>22.990000260000002</v>
      </c>
      <c r="C62" s="2">
        <f>DUT!AD63</f>
        <v>20</v>
      </c>
      <c r="D62" s="2">
        <f>DUT!AF63</f>
        <v>0.2</v>
      </c>
      <c r="E62" s="2">
        <f>Preamp!AD63</f>
        <v>22.990000260000002</v>
      </c>
      <c r="F62" s="2">
        <f>Preamp!AE63</f>
        <v>5</v>
      </c>
      <c r="G62" s="2">
        <f>Preamp!AF63</f>
        <v>0.3981071705534972</v>
      </c>
      <c r="H62" s="2">
        <f>20*LOG10(FieldFox!D62)</f>
        <v>-9.5424250943932485</v>
      </c>
      <c r="I62" s="2">
        <f>FieldFox!AJ62</f>
        <v>24.489999999999988</v>
      </c>
      <c r="J62" s="2">
        <f>'Meas. Noise Std'!AA63</f>
        <v>5</v>
      </c>
      <c r="K62" s="2">
        <f>'User Cal. Noise Std'!AA63</f>
        <v>12</v>
      </c>
      <c r="L62" s="2">
        <f>'Meas. Noise Std'!AB63</f>
        <v>0.1</v>
      </c>
      <c r="M62" s="2">
        <f>'Meas. Noise Std'!AC63</f>
        <v>0.1</v>
      </c>
      <c r="N62" s="2">
        <f>'User Cal. Noise Std'!AC63</f>
        <v>0.22</v>
      </c>
      <c r="O62" s="2">
        <f>'Meas. Noise Std'!AD63</f>
        <v>1</v>
      </c>
      <c r="P62" s="2">
        <f>'User Cal. Noise Std'!AD63</f>
        <v>0.12</v>
      </c>
      <c r="Q62" s="2">
        <f>FieldFox!AI62</f>
        <v>0.30000000000000004</v>
      </c>
      <c r="T62" s="2">
        <f>DUT!AH63</f>
        <v>0</v>
      </c>
      <c r="U62" s="2">
        <f>Preamp!AH63</f>
        <v>0</v>
      </c>
      <c r="V62" s="2">
        <f>DUT!AG63</f>
        <v>0.31622776601683794</v>
      </c>
    </row>
    <row r="63" spans="1:23">
      <c r="A63" s="2">
        <f>MIN(StopFreqGHz+0.000001,Result!A62+FreqStep)</f>
        <v>26.500001000000001</v>
      </c>
      <c r="B63" s="2">
        <f t="shared" si="1"/>
        <v>22.990000260000002</v>
      </c>
      <c r="C63" s="2">
        <f>DUT!AD64</f>
        <v>20</v>
      </c>
      <c r="D63" s="2">
        <f>DUT!AF64</f>
        <v>0.2</v>
      </c>
      <c r="E63" s="2">
        <f>Preamp!AD64</f>
        <v>22.990000260000002</v>
      </c>
      <c r="F63" s="2">
        <f>Preamp!AE64</f>
        <v>5</v>
      </c>
      <c r="G63" s="2">
        <f>Preamp!AF64</f>
        <v>0.3981071705534972</v>
      </c>
      <c r="H63" s="2">
        <f>20*LOG10(FieldFox!D63)</f>
        <v>-9.5424250943932485</v>
      </c>
      <c r="I63" s="2">
        <f>FieldFox!AJ63</f>
        <v>24.489999999999988</v>
      </c>
      <c r="J63" s="2">
        <f>'Meas. Noise Std'!AA64</f>
        <v>5</v>
      </c>
      <c r="K63" s="2">
        <f>'User Cal. Noise Std'!AA64</f>
        <v>12</v>
      </c>
      <c r="L63" s="2">
        <f>'Meas. Noise Std'!AB64</f>
        <v>0.1</v>
      </c>
      <c r="M63" s="2">
        <f>'Meas. Noise Std'!AC64</f>
        <v>0.1</v>
      </c>
      <c r="N63" s="2">
        <f>'User Cal. Noise Std'!AC64</f>
        <v>0.22</v>
      </c>
      <c r="O63" s="2">
        <f>'Meas. Noise Std'!AD64</f>
        <v>1</v>
      </c>
      <c r="P63" s="2">
        <f>'User Cal. Noise Std'!AD64</f>
        <v>0.12</v>
      </c>
      <c r="Q63" s="2">
        <f>FieldFox!AI63</f>
        <v>0.30000000000000004</v>
      </c>
      <c r="T63" s="2">
        <f>DUT!AH64</f>
        <v>0</v>
      </c>
      <c r="U63" s="2">
        <f>Preamp!AH64</f>
        <v>0</v>
      </c>
      <c r="V63" s="2">
        <f>DUT!AG64</f>
        <v>0.31622776601683794</v>
      </c>
    </row>
    <row r="64" spans="1:23">
      <c r="A64" s="2">
        <f>MIN(StopFreqGHz+0.000001,Result!A63+FreqStep)</f>
        <v>26.500001000000001</v>
      </c>
      <c r="B64" s="2">
        <f t="shared" si="1"/>
        <v>22.990000260000002</v>
      </c>
      <c r="C64" s="2">
        <f>DUT!AD65</f>
        <v>20</v>
      </c>
      <c r="D64" s="2">
        <f>DUT!AF65</f>
        <v>0.2</v>
      </c>
      <c r="E64" s="2">
        <f>Preamp!AD65</f>
        <v>22.990000260000002</v>
      </c>
      <c r="F64" s="2">
        <f>Preamp!AE65</f>
        <v>5</v>
      </c>
      <c r="G64" s="2">
        <f>Preamp!AF65</f>
        <v>0.3981071705534972</v>
      </c>
      <c r="H64" s="2">
        <f>20*LOG10(FieldFox!D64)</f>
        <v>-9.5424250943932485</v>
      </c>
      <c r="I64" s="2">
        <f>FieldFox!AJ64</f>
        <v>24.489999999999988</v>
      </c>
      <c r="J64" s="2">
        <f>'Meas. Noise Std'!AA65</f>
        <v>5</v>
      </c>
      <c r="K64" s="2">
        <f>'User Cal. Noise Std'!AA65</f>
        <v>12</v>
      </c>
      <c r="L64" s="2">
        <f>'Meas. Noise Std'!AB65</f>
        <v>0.1</v>
      </c>
      <c r="M64" s="2">
        <f>'Meas. Noise Std'!AC65</f>
        <v>0.1</v>
      </c>
      <c r="N64" s="2">
        <f>'User Cal. Noise Std'!AC65</f>
        <v>0.22</v>
      </c>
      <c r="O64" s="2">
        <f>'Meas. Noise Std'!AD65</f>
        <v>1</v>
      </c>
      <c r="P64" s="2">
        <f>'User Cal. Noise Std'!AD65</f>
        <v>0.12</v>
      </c>
      <c r="Q64" s="2">
        <f>FieldFox!AI64</f>
        <v>0.30000000000000004</v>
      </c>
      <c r="T64" s="2">
        <f>DUT!AH65</f>
        <v>0</v>
      </c>
      <c r="U64" s="2">
        <f>Preamp!AH65</f>
        <v>0</v>
      </c>
      <c r="V64" s="2">
        <f>DUT!AG65</f>
        <v>0.31622776601683794</v>
      </c>
    </row>
    <row r="65" spans="1:22">
      <c r="A65" s="2">
        <f>MIN(StopFreqGHz+0.000001,Result!A64+FreqStep)</f>
        <v>26.500001000000001</v>
      </c>
      <c r="B65" s="2">
        <f t="shared" si="1"/>
        <v>22.990000260000002</v>
      </c>
      <c r="C65" s="2">
        <f>DUT!AD66</f>
        <v>20</v>
      </c>
      <c r="D65" s="2">
        <f>DUT!AF66</f>
        <v>0.2</v>
      </c>
      <c r="E65" s="2">
        <f>Preamp!AD66</f>
        <v>22.990000260000002</v>
      </c>
      <c r="F65" s="2">
        <f>Preamp!AE66</f>
        <v>5</v>
      </c>
      <c r="G65" s="2">
        <f>Preamp!AF66</f>
        <v>0.3981071705534972</v>
      </c>
      <c r="H65" s="2">
        <f>20*LOG10(FieldFox!D65)</f>
        <v>-9.5424250943932485</v>
      </c>
      <c r="I65" s="2">
        <f>FieldFox!AJ65</f>
        <v>24.489999999999988</v>
      </c>
      <c r="J65" s="2">
        <f>'Meas. Noise Std'!AA66</f>
        <v>5</v>
      </c>
      <c r="K65" s="2">
        <f>'User Cal. Noise Std'!AA66</f>
        <v>12</v>
      </c>
      <c r="L65" s="2">
        <f>'Meas. Noise Std'!AB66</f>
        <v>0.1</v>
      </c>
      <c r="M65" s="2">
        <f>'Meas. Noise Std'!AC66</f>
        <v>0.1</v>
      </c>
      <c r="N65" s="2">
        <f>'User Cal. Noise Std'!AC66</f>
        <v>0.22</v>
      </c>
      <c r="O65" s="2">
        <f>'Meas. Noise Std'!AD66</f>
        <v>1</v>
      </c>
      <c r="P65" s="2">
        <f>'User Cal. Noise Std'!AD66</f>
        <v>0.12</v>
      </c>
      <c r="Q65" s="2">
        <f>FieldFox!AI65</f>
        <v>0.30000000000000004</v>
      </c>
      <c r="T65" s="2">
        <f>DUT!AH66</f>
        <v>0</v>
      </c>
      <c r="U65" s="2">
        <f>Preamp!AH66</f>
        <v>0</v>
      </c>
      <c r="V65" s="2">
        <f>DUT!AG66</f>
        <v>0.31622776601683794</v>
      </c>
    </row>
    <row r="66" spans="1:22">
      <c r="A66" s="2">
        <f>MIN(StopFreqGHz+0.000001,Result!A65+FreqStep)</f>
        <v>26.500001000000001</v>
      </c>
      <c r="B66" s="2">
        <f t="shared" si="1"/>
        <v>22.990000260000002</v>
      </c>
      <c r="C66" s="2">
        <f>DUT!AD67</f>
        <v>20</v>
      </c>
      <c r="D66" s="2">
        <f>DUT!AF67</f>
        <v>0.2</v>
      </c>
      <c r="E66" s="2">
        <f>Preamp!AD67</f>
        <v>22.990000260000002</v>
      </c>
      <c r="F66" s="2">
        <f>Preamp!AE67</f>
        <v>5</v>
      </c>
      <c r="G66" s="2">
        <f>Preamp!AF67</f>
        <v>0.3981071705534972</v>
      </c>
      <c r="H66" s="2">
        <f>20*LOG10(FieldFox!D66)</f>
        <v>-9.5424250943932485</v>
      </c>
      <c r="I66" s="2">
        <f>FieldFox!AJ66</f>
        <v>24.489999999999988</v>
      </c>
      <c r="J66" s="2">
        <f>'Meas. Noise Std'!AA67</f>
        <v>5</v>
      </c>
      <c r="K66" s="2">
        <f>'User Cal. Noise Std'!AA67</f>
        <v>12</v>
      </c>
      <c r="L66" s="2">
        <f>'Meas. Noise Std'!AB67</f>
        <v>0.1</v>
      </c>
      <c r="M66" s="2">
        <f>'Meas. Noise Std'!AC67</f>
        <v>0.1</v>
      </c>
      <c r="N66" s="2">
        <f>'User Cal. Noise Std'!AC67</f>
        <v>0.22</v>
      </c>
      <c r="O66" s="2">
        <f>'Meas. Noise Std'!AD67</f>
        <v>1</v>
      </c>
      <c r="P66" s="2">
        <f>'User Cal. Noise Std'!AD67</f>
        <v>0.12</v>
      </c>
      <c r="Q66" s="2">
        <f>FieldFox!AI66</f>
        <v>0.30000000000000004</v>
      </c>
      <c r="T66" s="2">
        <f>DUT!AH67</f>
        <v>0</v>
      </c>
      <c r="U66" s="2">
        <f>Preamp!AH67</f>
        <v>0</v>
      </c>
      <c r="V66" s="2">
        <f>DUT!AG67</f>
        <v>0.31622776601683794</v>
      </c>
    </row>
    <row r="67" spans="1:22">
      <c r="A67" s="2">
        <f>MIN(StopFreqGHz+0.000001,Result!A66+FreqStep)</f>
        <v>26.500001000000001</v>
      </c>
      <c r="B67" s="2">
        <f t="shared" si="1"/>
        <v>22.990000260000002</v>
      </c>
      <c r="C67" s="2">
        <f>DUT!AD68</f>
        <v>20</v>
      </c>
      <c r="D67" s="2">
        <f>DUT!AF68</f>
        <v>0.2</v>
      </c>
      <c r="E67" s="2">
        <f>Preamp!AD68</f>
        <v>22.990000260000002</v>
      </c>
      <c r="F67" s="2">
        <f>Preamp!AE68</f>
        <v>5</v>
      </c>
      <c r="G67" s="2">
        <f>Preamp!AF68</f>
        <v>0.3981071705534972</v>
      </c>
      <c r="H67" s="2">
        <f>20*LOG10(FieldFox!D67)</f>
        <v>-9.5424250943932485</v>
      </c>
      <c r="I67" s="2">
        <f>FieldFox!AJ67</f>
        <v>24.489999999999988</v>
      </c>
      <c r="J67" s="2">
        <f>'Meas. Noise Std'!AA68</f>
        <v>5</v>
      </c>
      <c r="K67" s="2">
        <f>'User Cal. Noise Std'!AA68</f>
        <v>12</v>
      </c>
      <c r="L67" s="2">
        <f>'Meas. Noise Std'!AB68</f>
        <v>0.1</v>
      </c>
      <c r="M67" s="2">
        <f>'Meas. Noise Std'!AC68</f>
        <v>0.1</v>
      </c>
      <c r="N67" s="2">
        <f>'User Cal. Noise Std'!AC68</f>
        <v>0.22</v>
      </c>
      <c r="O67" s="2">
        <f>'Meas. Noise Std'!AD68</f>
        <v>1</v>
      </c>
      <c r="P67" s="2">
        <f>'User Cal. Noise Std'!AD68</f>
        <v>0.12</v>
      </c>
      <c r="Q67" s="2">
        <f>FieldFox!AI67</f>
        <v>0.30000000000000004</v>
      </c>
      <c r="T67" s="2">
        <f>DUT!AH68</f>
        <v>0</v>
      </c>
      <c r="U67" s="2">
        <f>Preamp!AH68</f>
        <v>0</v>
      </c>
      <c r="V67" s="2">
        <f>DUT!AG68</f>
        <v>0.31622776601683794</v>
      </c>
    </row>
    <row r="68" spans="1:22">
      <c r="A68" s="2">
        <f>MIN(StopFreqGHz+0.000001,Result!A67+FreqStep)</f>
        <v>26.500001000000001</v>
      </c>
      <c r="B68" s="2">
        <f t="shared" ref="B68:B99" si="2">CHOOSE(SelectInfoDisplay,C68,D68,E68,F68,G68,I68,J68,L68,M68,O68,Q68,K68,N68,P68,V68,W68)</f>
        <v>22.990000260000002</v>
      </c>
      <c r="C68" s="2">
        <f>DUT!AD69</f>
        <v>20</v>
      </c>
      <c r="D68" s="2">
        <f>DUT!AF69</f>
        <v>0.2</v>
      </c>
      <c r="E68" s="2">
        <f>Preamp!AD69</f>
        <v>22.990000260000002</v>
      </c>
      <c r="F68" s="2">
        <f>Preamp!AE69</f>
        <v>5</v>
      </c>
      <c r="G68" s="2">
        <f>Preamp!AF69</f>
        <v>0.3981071705534972</v>
      </c>
      <c r="H68" s="2">
        <f>20*LOG10(FieldFox!D68)</f>
        <v>-9.5424250943932485</v>
      </c>
      <c r="I68" s="2">
        <f>FieldFox!AJ68</f>
        <v>24.489999999999988</v>
      </c>
      <c r="J68" s="2">
        <f>'Meas. Noise Std'!AA69</f>
        <v>5</v>
      </c>
      <c r="K68" s="2">
        <f>'User Cal. Noise Std'!AA69</f>
        <v>12</v>
      </c>
      <c r="L68" s="2">
        <f>'Meas. Noise Std'!AB69</f>
        <v>0.1</v>
      </c>
      <c r="M68" s="2">
        <f>'Meas. Noise Std'!AC69</f>
        <v>0.1</v>
      </c>
      <c r="N68" s="2">
        <f>'User Cal. Noise Std'!AC69</f>
        <v>0.22</v>
      </c>
      <c r="O68" s="2">
        <f>'Meas. Noise Std'!AD69</f>
        <v>1</v>
      </c>
      <c r="P68" s="2">
        <f>'User Cal. Noise Std'!AD69</f>
        <v>0.12</v>
      </c>
      <c r="Q68" s="2">
        <f>FieldFox!AI68</f>
        <v>0.30000000000000004</v>
      </c>
      <c r="T68" s="2">
        <f>DUT!AH69</f>
        <v>0</v>
      </c>
      <c r="U68" s="2">
        <f>Preamp!AH69</f>
        <v>0</v>
      </c>
      <c r="V68" s="2">
        <f>DUT!AG69</f>
        <v>0.31622776601683794</v>
      </c>
    </row>
    <row r="69" spans="1:22">
      <c r="A69" s="2">
        <f>MIN(StopFreqGHz+0.000001,Result!A68+FreqStep)</f>
        <v>26.500001000000001</v>
      </c>
      <c r="B69" s="2">
        <f t="shared" si="2"/>
        <v>22.990000260000002</v>
      </c>
      <c r="C69" s="2">
        <f>DUT!AD70</f>
        <v>20</v>
      </c>
      <c r="D69" s="2">
        <f>DUT!AF70</f>
        <v>0.2</v>
      </c>
      <c r="E69" s="2">
        <f>Preamp!AD70</f>
        <v>22.990000260000002</v>
      </c>
      <c r="F69" s="2">
        <f>Preamp!AE70</f>
        <v>5</v>
      </c>
      <c r="G69" s="2">
        <f>Preamp!AF70</f>
        <v>0.3981071705534972</v>
      </c>
      <c r="H69" s="2">
        <f>20*LOG10(FieldFox!D69)</f>
        <v>-9.5424250943932485</v>
      </c>
      <c r="I69" s="2">
        <f>FieldFox!AJ69</f>
        <v>24.489999999999988</v>
      </c>
      <c r="J69" s="2">
        <f>'Meas. Noise Std'!AA70</f>
        <v>5</v>
      </c>
      <c r="K69" s="2">
        <f>'User Cal. Noise Std'!AA70</f>
        <v>12</v>
      </c>
      <c r="L69" s="2">
        <f>'Meas. Noise Std'!AB70</f>
        <v>0.1</v>
      </c>
      <c r="M69" s="2">
        <f>'Meas. Noise Std'!AC70</f>
        <v>0.1</v>
      </c>
      <c r="N69" s="2">
        <f>'User Cal. Noise Std'!AC70</f>
        <v>0.22</v>
      </c>
      <c r="O69" s="2">
        <f>'Meas. Noise Std'!AD70</f>
        <v>1</v>
      </c>
      <c r="P69" s="2">
        <f>'User Cal. Noise Std'!AD70</f>
        <v>0.12</v>
      </c>
      <c r="Q69" s="2">
        <f>FieldFox!AI69</f>
        <v>0.30000000000000004</v>
      </c>
      <c r="T69" s="2">
        <f>DUT!AH70</f>
        <v>0</v>
      </c>
      <c r="U69" s="2">
        <f>Preamp!AH70</f>
        <v>0</v>
      </c>
      <c r="V69" s="2">
        <f>DUT!AG70</f>
        <v>0.31622776601683794</v>
      </c>
    </row>
    <row r="70" spans="1:22">
      <c r="A70" s="2">
        <f>MIN(StopFreqGHz+0.000001,Result!A69+FreqStep)</f>
        <v>26.500001000000001</v>
      </c>
      <c r="B70" s="2">
        <f t="shared" si="2"/>
        <v>22.990000260000002</v>
      </c>
      <c r="C70" s="2">
        <f>DUT!AD71</f>
        <v>20</v>
      </c>
      <c r="D70" s="2">
        <f>DUT!AF71</f>
        <v>0.2</v>
      </c>
      <c r="E70" s="2">
        <f>Preamp!AD71</f>
        <v>22.990000260000002</v>
      </c>
      <c r="F70" s="2">
        <f>Preamp!AE71</f>
        <v>5</v>
      </c>
      <c r="G70" s="2">
        <f>Preamp!AF71</f>
        <v>0.3981071705534972</v>
      </c>
      <c r="H70" s="2">
        <f>20*LOG10(FieldFox!D70)</f>
        <v>-9.5424250943932485</v>
      </c>
      <c r="I70" s="2">
        <f>FieldFox!AJ70</f>
        <v>24.489999999999988</v>
      </c>
      <c r="J70" s="2">
        <f>'Meas. Noise Std'!AA71</f>
        <v>5</v>
      </c>
      <c r="K70" s="2">
        <f>'User Cal. Noise Std'!AA71</f>
        <v>12</v>
      </c>
      <c r="L70" s="2">
        <f>'Meas. Noise Std'!AB71</f>
        <v>0.1</v>
      </c>
      <c r="M70" s="2">
        <f>'Meas. Noise Std'!AC71</f>
        <v>0.1</v>
      </c>
      <c r="N70" s="2">
        <f>'User Cal. Noise Std'!AC71</f>
        <v>0.22</v>
      </c>
      <c r="O70" s="2">
        <f>'Meas. Noise Std'!AD71</f>
        <v>1</v>
      </c>
      <c r="P70" s="2">
        <f>'User Cal. Noise Std'!AD71</f>
        <v>0.12</v>
      </c>
      <c r="Q70" s="2">
        <f>FieldFox!AI70</f>
        <v>0.30000000000000004</v>
      </c>
      <c r="T70" s="2">
        <f>DUT!AH71</f>
        <v>0</v>
      </c>
      <c r="U70" s="2">
        <f>Preamp!AH71</f>
        <v>0</v>
      </c>
      <c r="V70" s="2">
        <f>DUT!AG71</f>
        <v>0.31622776601683794</v>
      </c>
    </row>
    <row r="71" spans="1:22">
      <c r="A71" s="2">
        <f>MIN(StopFreqGHz+0.000001,Result!A70+FreqStep)</f>
        <v>26.500001000000001</v>
      </c>
      <c r="B71" s="2">
        <f t="shared" si="2"/>
        <v>22.990000260000002</v>
      </c>
      <c r="C71" s="2">
        <f>DUT!AD72</f>
        <v>20</v>
      </c>
      <c r="D71" s="2">
        <f>DUT!AF72</f>
        <v>0.2</v>
      </c>
      <c r="E71" s="2">
        <f>Preamp!AD72</f>
        <v>22.990000260000002</v>
      </c>
      <c r="F71" s="2">
        <f>Preamp!AE72</f>
        <v>5</v>
      </c>
      <c r="G71" s="2">
        <f>Preamp!AF72</f>
        <v>0.3981071705534972</v>
      </c>
      <c r="H71" s="2">
        <f>20*LOG10(FieldFox!D71)</f>
        <v>-9.5424250943932485</v>
      </c>
      <c r="I71" s="2">
        <f>FieldFox!AJ71</f>
        <v>24.489999999999988</v>
      </c>
      <c r="J71" s="2">
        <f>'Meas. Noise Std'!AA72</f>
        <v>5</v>
      </c>
      <c r="K71" s="2">
        <f>'User Cal. Noise Std'!AA72</f>
        <v>12</v>
      </c>
      <c r="L71" s="2">
        <f>'Meas. Noise Std'!AB72</f>
        <v>0.1</v>
      </c>
      <c r="M71" s="2">
        <f>'Meas. Noise Std'!AC72</f>
        <v>0.1</v>
      </c>
      <c r="N71" s="2">
        <f>'User Cal. Noise Std'!AC72</f>
        <v>0.22</v>
      </c>
      <c r="O71" s="2">
        <f>'Meas. Noise Std'!AD72</f>
        <v>1</v>
      </c>
      <c r="P71" s="2">
        <f>'User Cal. Noise Std'!AD72</f>
        <v>0.12</v>
      </c>
      <c r="Q71" s="2">
        <f>FieldFox!AI71</f>
        <v>0.30000000000000004</v>
      </c>
      <c r="T71" s="2">
        <f>DUT!AH72</f>
        <v>0</v>
      </c>
      <c r="U71" s="2">
        <f>Preamp!AH72</f>
        <v>0</v>
      </c>
      <c r="V71" s="2">
        <f>DUT!AG72</f>
        <v>0.31622776601683794</v>
      </c>
    </row>
    <row r="72" spans="1:22">
      <c r="A72" s="2">
        <f>MIN(StopFreqGHz+0.000001,Result!A71+FreqStep)</f>
        <v>26.500001000000001</v>
      </c>
      <c r="B72" s="2">
        <f t="shared" si="2"/>
        <v>22.990000260000002</v>
      </c>
      <c r="C72" s="2">
        <f>DUT!AD73</f>
        <v>20</v>
      </c>
      <c r="D72" s="2">
        <f>DUT!AF73</f>
        <v>0.2</v>
      </c>
      <c r="E72" s="2">
        <f>Preamp!AD73</f>
        <v>22.990000260000002</v>
      </c>
      <c r="F72" s="2">
        <f>Preamp!AE73</f>
        <v>5</v>
      </c>
      <c r="G72" s="2">
        <f>Preamp!AF73</f>
        <v>0.3981071705534972</v>
      </c>
      <c r="H72" s="2">
        <f>20*LOG10(FieldFox!D72)</f>
        <v>-9.5424250943932485</v>
      </c>
      <c r="I72" s="2">
        <f>FieldFox!AJ72</f>
        <v>24.489999999999988</v>
      </c>
      <c r="J72" s="2">
        <f>'Meas. Noise Std'!AA73</f>
        <v>5</v>
      </c>
      <c r="K72" s="2">
        <f>'User Cal. Noise Std'!AA73</f>
        <v>12</v>
      </c>
      <c r="L72" s="2">
        <f>'Meas. Noise Std'!AB73</f>
        <v>0.1</v>
      </c>
      <c r="M72" s="2">
        <f>'Meas. Noise Std'!AC73</f>
        <v>0.1</v>
      </c>
      <c r="N72" s="2">
        <f>'User Cal. Noise Std'!AC73</f>
        <v>0.22</v>
      </c>
      <c r="O72" s="2">
        <f>'Meas. Noise Std'!AD73</f>
        <v>1</v>
      </c>
      <c r="P72" s="2">
        <f>'User Cal. Noise Std'!AD73</f>
        <v>0.12</v>
      </c>
      <c r="Q72" s="2">
        <f>FieldFox!AI72</f>
        <v>0.30000000000000004</v>
      </c>
      <c r="T72" s="2">
        <f>DUT!AH73</f>
        <v>0</v>
      </c>
      <c r="U72" s="2">
        <f>Preamp!AH73</f>
        <v>0</v>
      </c>
      <c r="V72" s="2">
        <f>DUT!AG73</f>
        <v>0.31622776601683794</v>
      </c>
    </row>
    <row r="73" spans="1:22">
      <c r="A73" s="2">
        <f>MIN(StopFreqGHz+0.000001,Result!A72+FreqStep)</f>
        <v>26.500001000000001</v>
      </c>
      <c r="B73" s="2">
        <f t="shared" si="2"/>
        <v>22.990000260000002</v>
      </c>
      <c r="C73" s="2">
        <f>DUT!AD74</f>
        <v>20</v>
      </c>
      <c r="D73" s="2">
        <f>DUT!AF74</f>
        <v>0.2</v>
      </c>
      <c r="E73" s="2">
        <f>Preamp!AD74</f>
        <v>22.990000260000002</v>
      </c>
      <c r="F73" s="2">
        <f>Preamp!AE74</f>
        <v>5</v>
      </c>
      <c r="G73" s="2">
        <f>Preamp!AF74</f>
        <v>0.3981071705534972</v>
      </c>
      <c r="H73" s="2">
        <f>20*LOG10(FieldFox!D73)</f>
        <v>-9.5424250943932485</v>
      </c>
      <c r="I73" s="2">
        <f>FieldFox!AJ73</f>
        <v>24.489999999999988</v>
      </c>
      <c r="J73" s="2">
        <f>'Meas. Noise Std'!AA74</f>
        <v>5</v>
      </c>
      <c r="K73" s="2">
        <f>'User Cal. Noise Std'!AA74</f>
        <v>12</v>
      </c>
      <c r="L73" s="2">
        <f>'Meas. Noise Std'!AB74</f>
        <v>0.1</v>
      </c>
      <c r="M73" s="2">
        <f>'Meas. Noise Std'!AC74</f>
        <v>0.1</v>
      </c>
      <c r="N73" s="2">
        <f>'User Cal. Noise Std'!AC74</f>
        <v>0.22</v>
      </c>
      <c r="O73" s="2">
        <f>'Meas. Noise Std'!AD74</f>
        <v>1</v>
      </c>
      <c r="P73" s="2">
        <f>'User Cal. Noise Std'!AD74</f>
        <v>0.12</v>
      </c>
      <c r="Q73" s="2">
        <f>FieldFox!AI73</f>
        <v>0.30000000000000004</v>
      </c>
      <c r="T73" s="2">
        <f>DUT!AH74</f>
        <v>0</v>
      </c>
      <c r="U73" s="2">
        <f>Preamp!AH74</f>
        <v>0</v>
      </c>
      <c r="V73" s="2">
        <f>DUT!AG74</f>
        <v>0.31622776601683794</v>
      </c>
    </row>
    <row r="74" spans="1:22">
      <c r="A74" s="2">
        <f>MIN(StopFreqGHz+0.000001,Result!A73+FreqStep)</f>
        <v>26.500001000000001</v>
      </c>
      <c r="B74" s="2">
        <f t="shared" si="2"/>
        <v>22.990000260000002</v>
      </c>
      <c r="C74" s="2">
        <f>DUT!AD75</f>
        <v>20</v>
      </c>
      <c r="D74" s="2">
        <f>DUT!AF75</f>
        <v>0.2</v>
      </c>
      <c r="E74" s="2">
        <f>Preamp!AD75</f>
        <v>22.990000260000002</v>
      </c>
      <c r="F74" s="2">
        <f>Preamp!AE75</f>
        <v>5</v>
      </c>
      <c r="G74" s="2">
        <f>Preamp!AF75</f>
        <v>0.3981071705534972</v>
      </c>
      <c r="H74" s="2">
        <f>20*LOG10(FieldFox!D74)</f>
        <v>-9.5424250943932485</v>
      </c>
      <c r="I74" s="2">
        <f>FieldFox!AJ74</f>
        <v>24.489999999999988</v>
      </c>
      <c r="J74" s="2">
        <f>'Meas. Noise Std'!AA75</f>
        <v>5</v>
      </c>
      <c r="K74" s="2">
        <f>'User Cal. Noise Std'!AA75</f>
        <v>12</v>
      </c>
      <c r="L74" s="2">
        <f>'Meas. Noise Std'!AB75</f>
        <v>0.1</v>
      </c>
      <c r="M74" s="2">
        <f>'Meas. Noise Std'!AC75</f>
        <v>0.1</v>
      </c>
      <c r="N74" s="2">
        <f>'User Cal. Noise Std'!AC75</f>
        <v>0.22</v>
      </c>
      <c r="O74" s="2">
        <f>'Meas. Noise Std'!AD75</f>
        <v>1</v>
      </c>
      <c r="P74" s="2">
        <f>'User Cal. Noise Std'!AD75</f>
        <v>0.12</v>
      </c>
      <c r="Q74" s="2">
        <f>FieldFox!AI74</f>
        <v>0.30000000000000004</v>
      </c>
      <c r="T74" s="2">
        <f>DUT!AH75</f>
        <v>0</v>
      </c>
      <c r="U74" s="2">
        <f>Preamp!AH75</f>
        <v>0</v>
      </c>
      <c r="V74" s="2">
        <f>DUT!AG75</f>
        <v>0.31622776601683794</v>
      </c>
    </row>
    <row r="75" spans="1:22">
      <c r="A75" s="2">
        <f>MIN(StopFreqGHz+0.000001,Result!A74+FreqStep)</f>
        <v>26.500001000000001</v>
      </c>
      <c r="B75" s="2">
        <f t="shared" si="2"/>
        <v>22.990000260000002</v>
      </c>
      <c r="C75" s="2">
        <f>DUT!AD76</f>
        <v>20</v>
      </c>
      <c r="D75" s="2">
        <f>DUT!AF76</f>
        <v>0.2</v>
      </c>
      <c r="E75" s="2">
        <f>Preamp!AD76</f>
        <v>22.990000260000002</v>
      </c>
      <c r="F75" s="2">
        <f>Preamp!AE76</f>
        <v>5</v>
      </c>
      <c r="G75" s="2">
        <f>Preamp!AF76</f>
        <v>0.3981071705534972</v>
      </c>
      <c r="H75" s="2">
        <f>20*LOG10(FieldFox!D75)</f>
        <v>-9.5424250943932485</v>
      </c>
      <c r="I75" s="2">
        <f>FieldFox!AJ75</f>
        <v>24.489999999999988</v>
      </c>
      <c r="J75" s="2">
        <f>'Meas. Noise Std'!AA76</f>
        <v>5</v>
      </c>
      <c r="K75" s="2">
        <f>'User Cal. Noise Std'!AA76</f>
        <v>12</v>
      </c>
      <c r="L75" s="2">
        <f>'Meas. Noise Std'!AB76</f>
        <v>0.1</v>
      </c>
      <c r="M75" s="2">
        <f>'Meas. Noise Std'!AC76</f>
        <v>0.1</v>
      </c>
      <c r="N75" s="2">
        <f>'User Cal. Noise Std'!AC76</f>
        <v>0.22</v>
      </c>
      <c r="O75" s="2">
        <f>'Meas. Noise Std'!AD76</f>
        <v>1</v>
      </c>
      <c r="P75" s="2">
        <f>'User Cal. Noise Std'!AD76</f>
        <v>0.12</v>
      </c>
      <c r="Q75" s="2">
        <f>FieldFox!AI75</f>
        <v>0.30000000000000004</v>
      </c>
      <c r="T75" s="2">
        <f>DUT!AH76</f>
        <v>0</v>
      </c>
      <c r="U75" s="2">
        <f>Preamp!AH76</f>
        <v>0</v>
      </c>
      <c r="V75" s="2">
        <f>DUT!AG76</f>
        <v>0.31622776601683794</v>
      </c>
    </row>
    <row r="76" spans="1:22">
      <c r="A76" s="2">
        <f>MIN(StopFreqGHz+0.000001,Result!A75+FreqStep)</f>
        <v>26.500001000000001</v>
      </c>
      <c r="B76" s="2">
        <f t="shared" si="2"/>
        <v>22.990000260000002</v>
      </c>
      <c r="C76" s="2">
        <f>DUT!AD77</f>
        <v>20</v>
      </c>
      <c r="D76" s="2">
        <f>DUT!AF77</f>
        <v>0.2</v>
      </c>
      <c r="E76" s="2">
        <f>Preamp!AD77</f>
        <v>22.990000260000002</v>
      </c>
      <c r="F76" s="2">
        <f>Preamp!AE77</f>
        <v>5</v>
      </c>
      <c r="G76" s="2">
        <f>Preamp!AF77</f>
        <v>0.3981071705534972</v>
      </c>
      <c r="H76" s="2">
        <f>20*LOG10(FieldFox!D76)</f>
        <v>-9.5424250943932485</v>
      </c>
      <c r="I76" s="2">
        <f>FieldFox!AJ76</f>
        <v>24.489999999999988</v>
      </c>
      <c r="J76" s="2">
        <f>'Meas. Noise Std'!AA77</f>
        <v>5</v>
      </c>
      <c r="K76" s="2">
        <f>'User Cal. Noise Std'!AA77</f>
        <v>12</v>
      </c>
      <c r="L76" s="2">
        <f>'Meas. Noise Std'!AB77</f>
        <v>0.1</v>
      </c>
      <c r="M76" s="2">
        <f>'Meas. Noise Std'!AC77</f>
        <v>0.1</v>
      </c>
      <c r="N76" s="2">
        <f>'User Cal. Noise Std'!AC77</f>
        <v>0.22</v>
      </c>
      <c r="O76" s="2">
        <f>'Meas. Noise Std'!AD77</f>
        <v>1</v>
      </c>
      <c r="P76" s="2">
        <f>'User Cal. Noise Std'!AD77</f>
        <v>0.12</v>
      </c>
      <c r="Q76" s="2">
        <f>FieldFox!AI76</f>
        <v>0.30000000000000004</v>
      </c>
      <c r="T76" s="2">
        <f>DUT!AH77</f>
        <v>0</v>
      </c>
      <c r="U76" s="2">
        <f>Preamp!AH77</f>
        <v>0</v>
      </c>
      <c r="V76" s="2">
        <f>DUT!AG77</f>
        <v>0.31622776601683794</v>
      </c>
    </row>
    <row r="77" spans="1:22">
      <c r="A77" s="2">
        <f>MIN(StopFreqGHz+0.000001,Result!A76+FreqStep)</f>
        <v>26.500001000000001</v>
      </c>
      <c r="B77" s="2">
        <f t="shared" si="2"/>
        <v>22.990000260000002</v>
      </c>
      <c r="C77" s="2">
        <f>DUT!AD78</f>
        <v>20</v>
      </c>
      <c r="D77" s="2">
        <f>DUT!AF78</f>
        <v>0.2</v>
      </c>
      <c r="E77" s="2">
        <f>Preamp!AD78</f>
        <v>22.990000260000002</v>
      </c>
      <c r="F77" s="2">
        <f>Preamp!AE78</f>
        <v>5</v>
      </c>
      <c r="G77" s="2">
        <f>Preamp!AF78</f>
        <v>0.3981071705534972</v>
      </c>
      <c r="H77" s="2">
        <f>20*LOG10(FieldFox!D77)</f>
        <v>-9.5424250943932485</v>
      </c>
      <c r="I77" s="2">
        <f>FieldFox!AJ77</f>
        <v>24.489999999999988</v>
      </c>
      <c r="J77" s="2">
        <f>'Meas. Noise Std'!AA78</f>
        <v>5</v>
      </c>
      <c r="K77" s="2">
        <f>'User Cal. Noise Std'!AA78</f>
        <v>12</v>
      </c>
      <c r="L77" s="2">
        <f>'Meas. Noise Std'!AB78</f>
        <v>0.1</v>
      </c>
      <c r="M77" s="2">
        <f>'Meas. Noise Std'!AC78</f>
        <v>0.1</v>
      </c>
      <c r="N77" s="2">
        <f>'User Cal. Noise Std'!AC78</f>
        <v>0.22</v>
      </c>
      <c r="O77" s="2">
        <f>'Meas. Noise Std'!AD78</f>
        <v>1</v>
      </c>
      <c r="P77" s="2">
        <f>'User Cal. Noise Std'!AD78</f>
        <v>0.12</v>
      </c>
      <c r="Q77" s="2">
        <f>FieldFox!AI77</f>
        <v>0.30000000000000004</v>
      </c>
      <c r="T77" s="2">
        <f>DUT!AH78</f>
        <v>0</v>
      </c>
      <c r="U77" s="2">
        <f>Preamp!AH78</f>
        <v>0</v>
      </c>
      <c r="V77" s="2">
        <f>DUT!AG78</f>
        <v>0.31622776601683794</v>
      </c>
    </row>
    <row r="78" spans="1:22">
      <c r="A78" s="2">
        <f>MIN(StopFreqGHz+0.000001,Result!A77+FreqStep)</f>
        <v>26.500001000000001</v>
      </c>
      <c r="B78" s="2">
        <f t="shared" si="2"/>
        <v>22.990000260000002</v>
      </c>
      <c r="C78" s="2">
        <f>DUT!AD79</f>
        <v>20</v>
      </c>
      <c r="D78" s="2">
        <f>DUT!AF79</f>
        <v>0.2</v>
      </c>
      <c r="E78" s="2">
        <f>Preamp!AD79</f>
        <v>22.990000260000002</v>
      </c>
      <c r="F78" s="2">
        <f>Preamp!AE79</f>
        <v>5</v>
      </c>
      <c r="G78" s="2">
        <f>Preamp!AF79</f>
        <v>0.3981071705534972</v>
      </c>
      <c r="H78" s="2">
        <f>20*LOG10(FieldFox!D78)</f>
        <v>-9.5424250943932485</v>
      </c>
      <c r="I78" s="2">
        <f>FieldFox!AJ78</f>
        <v>24.489999999999988</v>
      </c>
      <c r="J78" s="2">
        <f>'Meas. Noise Std'!AA79</f>
        <v>5</v>
      </c>
      <c r="K78" s="2">
        <f>'User Cal. Noise Std'!AA79</f>
        <v>12</v>
      </c>
      <c r="L78" s="2">
        <f>'Meas. Noise Std'!AB79</f>
        <v>0.1</v>
      </c>
      <c r="M78" s="2">
        <f>'Meas. Noise Std'!AC79</f>
        <v>0.1</v>
      </c>
      <c r="N78" s="2">
        <f>'User Cal. Noise Std'!AC79</f>
        <v>0.22</v>
      </c>
      <c r="O78" s="2">
        <f>'Meas. Noise Std'!AD79</f>
        <v>1</v>
      </c>
      <c r="P78" s="2">
        <f>'User Cal. Noise Std'!AD79</f>
        <v>0.12</v>
      </c>
      <c r="Q78" s="2">
        <f>FieldFox!AI78</f>
        <v>0.30000000000000004</v>
      </c>
      <c r="T78" s="2">
        <f>DUT!AH79</f>
        <v>0</v>
      </c>
      <c r="U78" s="2">
        <f>Preamp!AH79</f>
        <v>0</v>
      </c>
      <c r="V78" s="2">
        <f>DUT!AG79</f>
        <v>0.31622776601683794</v>
      </c>
    </row>
    <row r="79" spans="1:22">
      <c r="A79" s="2">
        <f>MIN(StopFreqGHz+0.000001,Result!A78+FreqStep)</f>
        <v>26.500001000000001</v>
      </c>
      <c r="B79" s="2">
        <f t="shared" si="2"/>
        <v>22.990000260000002</v>
      </c>
      <c r="C79" s="2">
        <f>DUT!AD80</f>
        <v>20</v>
      </c>
      <c r="D79" s="2">
        <f>DUT!AF80</f>
        <v>0.2</v>
      </c>
      <c r="E79" s="2">
        <f>Preamp!AD80</f>
        <v>22.990000260000002</v>
      </c>
      <c r="F79" s="2">
        <f>Preamp!AE80</f>
        <v>5</v>
      </c>
      <c r="G79" s="2">
        <f>Preamp!AF80</f>
        <v>0.3981071705534972</v>
      </c>
      <c r="H79" s="2">
        <f>20*LOG10(FieldFox!D79)</f>
        <v>-9.5424250943932485</v>
      </c>
      <c r="I79" s="2">
        <f>FieldFox!AJ79</f>
        <v>24.489999999999988</v>
      </c>
      <c r="J79" s="2">
        <f>'Meas. Noise Std'!AA80</f>
        <v>5</v>
      </c>
      <c r="K79" s="2">
        <f>'User Cal. Noise Std'!AA80</f>
        <v>12</v>
      </c>
      <c r="L79" s="2">
        <f>'Meas. Noise Std'!AB80</f>
        <v>0.1</v>
      </c>
      <c r="M79" s="2">
        <f>'Meas. Noise Std'!AC80</f>
        <v>0.1</v>
      </c>
      <c r="N79" s="2">
        <f>'User Cal. Noise Std'!AC80</f>
        <v>0.22</v>
      </c>
      <c r="O79" s="2">
        <f>'Meas. Noise Std'!AD80</f>
        <v>1</v>
      </c>
      <c r="P79" s="2">
        <f>'User Cal. Noise Std'!AD80</f>
        <v>0.12</v>
      </c>
      <c r="Q79" s="2">
        <f>FieldFox!AI79</f>
        <v>0.30000000000000004</v>
      </c>
      <c r="T79" s="2">
        <f>DUT!AH80</f>
        <v>0</v>
      </c>
      <c r="U79" s="2">
        <f>Preamp!AH80</f>
        <v>0</v>
      </c>
      <c r="V79" s="2">
        <f>DUT!AG80</f>
        <v>0.31622776601683794</v>
      </c>
    </row>
    <row r="80" spans="1:22">
      <c r="A80" s="2">
        <f>MIN(StopFreqGHz+0.000001,Result!A79+FreqStep)</f>
        <v>26.500001000000001</v>
      </c>
      <c r="B80" s="2">
        <f t="shared" si="2"/>
        <v>22.990000260000002</v>
      </c>
      <c r="C80" s="2">
        <f>DUT!AD81</f>
        <v>20</v>
      </c>
      <c r="D80" s="2">
        <f>DUT!AF81</f>
        <v>0.2</v>
      </c>
      <c r="E80" s="2">
        <f>Preamp!AD81</f>
        <v>22.990000260000002</v>
      </c>
      <c r="F80" s="2">
        <f>Preamp!AE81</f>
        <v>5</v>
      </c>
      <c r="G80" s="2">
        <f>Preamp!AF81</f>
        <v>0.3981071705534972</v>
      </c>
      <c r="H80" s="2">
        <f>20*LOG10(FieldFox!D80)</f>
        <v>-9.5424250943932485</v>
      </c>
      <c r="I80" s="2">
        <f>FieldFox!AJ80</f>
        <v>24.489999999999988</v>
      </c>
      <c r="J80" s="2">
        <f>'Meas. Noise Std'!AA81</f>
        <v>5</v>
      </c>
      <c r="K80" s="2">
        <f>'User Cal. Noise Std'!AA81</f>
        <v>12</v>
      </c>
      <c r="L80" s="2">
        <f>'Meas. Noise Std'!AB81</f>
        <v>0.1</v>
      </c>
      <c r="M80" s="2">
        <f>'Meas. Noise Std'!AC81</f>
        <v>0.1</v>
      </c>
      <c r="N80" s="2">
        <f>'User Cal. Noise Std'!AC81</f>
        <v>0.22</v>
      </c>
      <c r="O80" s="2">
        <f>'Meas. Noise Std'!AD81</f>
        <v>1</v>
      </c>
      <c r="P80" s="2">
        <f>'User Cal. Noise Std'!AD81</f>
        <v>0.12</v>
      </c>
      <c r="Q80" s="2">
        <f>FieldFox!AI80</f>
        <v>0.30000000000000004</v>
      </c>
      <c r="T80" s="2">
        <f>DUT!AH81</f>
        <v>0</v>
      </c>
      <c r="U80" s="2">
        <f>Preamp!AH81</f>
        <v>0</v>
      </c>
      <c r="V80" s="2">
        <f>DUT!AG81</f>
        <v>0.31622776601683794</v>
      </c>
    </row>
    <row r="81" spans="1:22">
      <c r="A81" s="2">
        <f>MIN(StopFreqGHz+0.000001,Result!A80+FreqStep)</f>
        <v>26.500001000000001</v>
      </c>
      <c r="B81" s="2">
        <f t="shared" si="2"/>
        <v>22.990000260000002</v>
      </c>
      <c r="C81" s="2">
        <f>DUT!AD82</f>
        <v>20</v>
      </c>
      <c r="D81" s="2">
        <f>DUT!AF82</f>
        <v>0.2</v>
      </c>
      <c r="E81" s="2">
        <f>Preamp!AD82</f>
        <v>22.990000260000002</v>
      </c>
      <c r="F81" s="2">
        <f>Preamp!AE82</f>
        <v>5</v>
      </c>
      <c r="G81" s="2">
        <f>Preamp!AF82</f>
        <v>0.3981071705534972</v>
      </c>
      <c r="H81" s="2">
        <f>20*LOG10(FieldFox!D81)</f>
        <v>-9.5424250943932485</v>
      </c>
      <c r="I81" s="2">
        <f>FieldFox!AJ81</f>
        <v>24.489999999999988</v>
      </c>
      <c r="J81" s="2">
        <f>'Meas. Noise Std'!AA82</f>
        <v>5</v>
      </c>
      <c r="K81" s="2">
        <f>'User Cal. Noise Std'!AA82</f>
        <v>12</v>
      </c>
      <c r="L81" s="2">
        <f>'Meas. Noise Std'!AB82</f>
        <v>0.1</v>
      </c>
      <c r="M81" s="2">
        <f>'Meas. Noise Std'!AC82</f>
        <v>0.1</v>
      </c>
      <c r="N81" s="2">
        <f>'User Cal. Noise Std'!AC82</f>
        <v>0.22</v>
      </c>
      <c r="O81" s="2">
        <f>'Meas. Noise Std'!AD82</f>
        <v>1</v>
      </c>
      <c r="P81" s="2">
        <f>'User Cal. Noise Std'!AD82</f>
        <v>0.12</v>
      </c>
      <c r="Q81" s="2">
        <f>FieldFox!AI81</f>
        <v>0.30000000000000004</v>
      </c>
      <c r="T81" s="2">
        <f>DUT!AH82</f>
        <v>0</v>
      </c>
      <c r="U81" s="2">
        <f>Preamp!AH82</f>
        <v>0</v>
      </c>
      <c r="V81" s="2">
        <f>DUT!AG82</f>
        <v>0.31622776601683794</v>
      </c>
    </row>
    <row r="82" spans="1:22">
      <c r="A82" s="2">
        <f>MIN(StopFreqGHz+0.000001,Result!A81+FreqStep)</f>
        <v>26.500001000000001</v>
      </c>
      <c r="B82" s="2">
        <f t="shared" si="2"/>
        <v>22.990000260000002</v>
      </c>
      <c r="C82" s="2">
        <f>DUT!AD83</f>
        <v>20</v>
      </c>
      <c r="D82" s="2">
        <f>DUT!AF83</f>
        <v>0.2</v>
      </c>
      <c r="E82" s="2">
        <f>Preamp!AD83</f>
        <v>22.990000260000002</v>
      </c>
      <c r="F82" s="2">
        <f>Preamp!AE83</f>
        <v>5</v>
      </c>
      <c r="G82" s="2">
        <f>Preamp!AF83</f>
        <v>0.3981071705534972</v>
      </c>
      <c r="H82" s="2">
        <f>20*LOG10(FieldFox!D82)</f>
        <v>-9.5424250943932485</v>
      </c>
      <c r="I82" s="2">
        <f>FieldFox!AJ82</f>
        <v>24.489999999999988</v>
      </c>
      <c r="J82" s="2">
        <f>'Meas. Noise Std'!AA83</f>
        <v>5</v>
      </c>
      <c r="K82" s="2">
        <f>'User Cal. Noise Std'!AA83</f>
        <v>12</v>
      </c>
      <c r="L82" s="2">
        <f>'Meas. Noise Std'!AB83</f>
        <v>0.1</v>
      </c>
      <c r="M82" s="2">
        <f>'Meas. Noise Std'!AC83</f>
        <v>0.1</v>
      </c>
      <c r="N82" s="2">
        <f>'User Cal. Noise Std'!AC83</f>
        <v>0.22</v>
      </c>
      <c r="O82" s="2">
        <f>'Meas. Noise Std'!AD83</f>
        <v>1</v>
      </c>
      <c r="P82" s="2">
        <f>'User Cal. Noise Std'!AD83</f>
        <v>0.12</v>
      </c>
      <c r="Q82" s="2">
        <f>FieldFox!AI82</f>
        <v>0.30000000000000004</v>
      </c>
      <c r="T82" s="2">
        <f>DUT!AH83</f>
        <v>0</v>
      </c>
      <c r="U82" s="2">
        <f>Preamp!AH83</f>
        <v>0</v>
      </c>
      <c r="V82" s="2">
        <f>DUT!AG83</f>
        <v>0.31622776601683794</v>
      </c>
    </row>
    <row r="83" spans="1:22">
      <c r="A83" s="2">
        <f>MIN(StopFreqGHz+0.000001,Result!A82+FreqStep)</f>
        <v>26.500001000000001</v>
      </c>
      <c r="B83" s="2">
        <f t="shared" si="2"/>
        <v>22.990000260000002</v>
      </c>
      <c r="C83" s="2">
        <f>DUT!AD84</f>
        <v>20</v>
      </c>
      <c r="D83" s="2">
        <f>DUT!AF84</f>
        <v>0.2</v>
      </c>
      <c r="E83" s="2">
        <f>Preamp!AD84</f>
        <v>22.990000260000002</v>
      </c>
      <c r="F83" s="2">
        <f>Preamp!AE84</f>
        <v>5</v>
      </c>
      <c r="G83" s="2">
        <f>Preamp!AF84</f>
        <v>0.3981071705534972</v>
      </c>
      <c r="H83" s="2">
        <f>20*LOG10(FieldFox!D83)</f>
        <v>-9.5424250943932485</v>
      </c>
      <c r="I83" s="2">
        <f>FieldFox!AJ83</f>
        <v>24.489999999999988</v>
      </c>
      <c r="J83" s="2">
        <f>'Meas. Noise Std'!AA84</f>
        <v>5</v>
      </c>
      <c r="K83" s="2">
        <f>'User Cal. Noise Std'!AA84</f>
        <v>12</v>
      </c>
      <c r="L83" s="2">
        <f>'Meas. Noise Std'!AB84</f>
        <v>0.1</v>
      </c>
      <c r="M83" s="2">
        <f>'Meas. Noise Std'!AC84</f>
        <v>0.1</v>
      </c>
      <c r="N83" s="2">
        <f>'User Cal. Noise Std'!AC84</f>
        <v>0.22</v>
      </c>
      <c r="O83" s="2">
        <f>'Meas. Noise Std'!AD84</f>
        <v>1</v>
      </c>
      <c r="P83" s="2">
        <f>'User Cal. Noise Std'!AD84</f>
        <v>0.12</v>
      </c>
      <c r="Q83" s="2">
        <f>FieldFox!AI83</f>
        <v>0.30000000000000004</v>
      </c>
      <c r="T83" s="2">
        <f>DUT!AH84</f>
        <v>0</v>
      </c>
      <c r="U83" s="2">
        <f>Preamp!AH84</f>
        <v>0</v>
      </c>
      <c r="V83" s="2">
        <f>DUT!AG84</f>
        <v>0.31622776601683794</v>
      </c>
    </row>
    <row r="84" spans="1:22">
      <c r="A84" s="2">
        <f>MIN(StopFreqGHz+0.000001,Result!A83+FreqStep)</f>
        <v>26.500001000000001</v>
      </c>
      <c r="B84" s="2">
        <f t="shared" si="2"/>
        <v>22.990000260000002</v>
      </c>
      <c r="C84" s="2">
        <f>DUT!AD85</f>
        <v>20</v>
      </c>
      <c r="D84" s="2">
        <f>DUT!AF85</f>
        <v>0.2</v>
      </c>
      <c r="E84" s="2">
        <f>Preamp!AD85</f>
        <v>22.990000260000002</v>
      </c>
      <c r="F84" s="2">
        <f>Preamp!AE85</f>
        <v>5</v>
      </c>
      <c r="G84" s="2">
        <f>Preamp!AF85</f>
        <v>0.3981071705534972</v>
      </c>
      <c r="H84" s="2">
        <f>20*LOG10(FieldFox!D84)</f>
        <v>-9.5424250943932485</v>
      </c>
      <c r="I84" s="2">
        <f>FieldFox!AJ84</f>
        <v>24.489999999999988</v>
      </c>
      <c r="J84" s="2">
        <f>'Meas. Noise Std'!AA85</f>
        <v>5</v>
      </c>
      <c r="K84" s="2">
        <f>'User Cal. Noise Std'!AA85</f>
        <v>12</v>
      </c>
      <c r="L84" s="2">
        <f>'Meas. Noise Std'!AB85</f>
        <v>0.1</v>
      </c>
      <c r="M84" s="2">
        <f>'Meas. Noise Std'!AC85</f>
        <v>0.1</v>
      </c>
      <c r="N84" s="2">
        <f>'User Cal. Noise Std'!AC85</f>
        <v>0.22</v>
      </c>
      <c r="O84" s="2">
        <f>'Meas. Noise Std'!AD85</f>
        <v>1</v>
      </c>
      <c r="P84" s="2">
        <f>'User Cal. Noise Std'!AD85</f>
        <v>0.12</v>
      </c>
      <c r="Q84" s="2">
        <f>FieldFox!AI84</f>
        <v>0.30000000000000004</v>
      </c>
      <c r="T84" s="2">
        <f>DUT!AH85</f>
        <v>0</v>
      </c>
      <c r="U84" s="2">
        <f>Preamp!AH85</f>
        <v>0</v>
      </c>
      <c r="V84" s="2">
        <f>DUT!AG85</f>
        <v>0.31622776601683794</v>
      </c>
    </row>
    <row r="85" spans="1:22">
      <c r="A85" s="2">
        <f>MIN(StopFreqGHz+0.000001,Result!A84+FreqStep)</f>
        <v>26.500001000000001</v>
      </c>
      <c r="B85" s="2">
        <f t="shared" si="2"/>
        <v>22.990000260000002</v>
      </c>
      <c r="C85" s="2">
        <f>DUT!AD86</f>
        <v>20</v>
      </c>
      <c r="D85" s="2">
        <f>DUT!AF86</f>
        <v>0.2</v>
      </c>
      <c r="E85" s="2">
        <f>Preamp!AD86</f>
        <v>22.990000260000002</v>
      </c>
      <c r="F85" s="2">
        <f>Preamp!AE86</f>
        <v>5</v>
      </c>
      <c r="G85" s="2">
        <f>Preamp!AF86</f>
        <v>0.3981071705534972</v>
      </c>
      <c r="H85" s="2">
        <f>20*LOG10(FieldFox!D85)</f>
        <v>-9.5424250943932485</v>
      </c>
      <c r="I85" s="2">
        <f>FieldFox!AJ85</f>
        <v>24.489999999999988</v>
      </c>
      <c r="J85" s="2">
        <f>'Meas. Noise Std'!AA86</f>
        <v>5</v>
      </c>
      <c r="K85" s="2">
        <f>'User Cal. Noise Std'!AA86</f>
        <v>12</v>
      </c>
      <c r="L85" s="2">
        <f>'Meas. Noise Std'!AB86</f>
        <v>0.1</v>
      </c>
      <c r="M85" s="2">
        <f>'Meas. Noise Std'!AC86</f>
        <v>0.1</v>
      </c>
      <c r="N85" s="2">
        <f>'User Cal. Noise Std'!AC86</f>
        <v>0.22</v>
      </c>
      <c r="O85" s="2">
        <f>'Meas. Noise Std'!AD86</f>
        <v>1</v>
      </c>
      <c r="P85" s="2">
        <f>'User Cal. Noise Std'!AD86</f>
        <v>0.12</v>
      </c>
      <c r="Q85" s="2">
        <f>FieldFox!AI85</f>
        <v>0.30000000000000004</v>
      </c>
      <c r="T85" s="2">
        <f>DUT!AH86</f>
        <v>0</v>
      </c>
      <c r="U85" s="2">
        <f>Preamp!AH86</f>
        <v>0</v>
      </c>
      <c r="V85" s="2">
        <f>DUT!AG86</f>
        <v>0.31622776601683794</v>
      </c>
    </row>
    <row r="86" spans="1:22">
      <c r="A86" s="2">
        <f>MIN(StopFreqGHz+0.000001,Result!A85+FreqStep)</f>
        <v>26.500001000000001</v>
      </c>
      <c r="B86" s="2">
        <f t="shared" si="2"/>
        <v>22.990000260000002</v>
      </c>
      <c r="C86" s="2">
        <f>DUT!AD87</f>
        <v>20</v>
      </c>
      <c r="D86" s="2">
        <f>DUT!AF87</f>
        <v>0.2</v>
      </c>
      <c r="E86" s="2">
        <f>Preamp!AD87</f>
        <v>22.990000260000002</v>
      </c>
      <c r="F86" s="2">
        <f>Preamp!AE87</f>
        <v>5</v>
      </c>
      <c r="G86" s="2">
        <f>Preamp!AF87</f>
        <v>0.3981071705534972</v>
      </c>
      <c r="H86" s="2">
        <f>20*LOG10(FieldFox!D86)</f>
        <v>-9.5424250943932485</v>
      </c>
      <c r="I86" s="2">
        <f>FieldFox!AJ86</f>
        <v>24.489999999999988</v>
      </c>
      <c r="J86" s="2">
        <f>'Meas. Noise Std'!AA87</f>
        <v>5</v>
      </c>
      <c r="K86" s="2">
        <f>'User Cal. Noise Std'!AA87</f>
        <v>12</v>
      </c>
      <c r="L86" s="2">
        <f>'Meas. Noise Std'!AB87</f>
        <v>0.1</v>
      </c>
      <c r="M86" s="2">
        <f>'Meas. Noise Std'!AC87</f>
        <v>0.1</v>
      </c>
      <c r="N86" s="2">
        <f>'User Cal. Noise Std'!AC87</f>
        <v>0.22</v>
      </c>
      <c r="O86" s="2">
        <f>'Meas. Noise Std'!AD87</f>
        <v>1</v>
      </c>
      <c r="P86" s="2">
        <f>'User Cal. Noise Std'!AD87</f>
        <v>0.12</v>
      </c>
      <c r="Q86" s="2">
        <f>FieldFox!AI86</f>
        <v>0.30000000000000004</v>
      </c>
      <c r="T86" s="2">
        <f>DUT!AH87</f>
        <v>0</v>
      </c>
      <c r="U86" s="2">
        <f>Preamp!AH87</f>
        <v>0</v>
      </c>
      <c r="V86" s="2">
        <f>DUT!AG87</f>
        <v>0.31622776601683794</v>
      </c>
    </row>
    <row r="87" spans="1:22">
      <c r="A87" s="2">
        <f>MIN(StopFreqGHz+0.000001,Result!A86+FreqStep)</f>
        <v>26.500001000000001</v>
      </c>
      <c r="B87" s="2">
        <f t="shared" si="2"/>
        <v>22.990000260000002</v>
      </c>
      <c r="C87" s="2">
        <f>DUT!AD88</f>
        <v>20</v>
      </c>
      <c r="D87" s="2">
        <f>DUT!AF88</f>
        <v>0.2</v>
      </c>
      <c r="E87" s="2">
        <f>Preamp!AD88</f>
        <v>22.990000260000002</v>
      </c>
      <c r="F87" s="2">
        <f>Preamp!AE88</f>
        <v>5</v>
      </c>
      <c r="G87" s="2">
        <f>Preamp!AF88</f>
        <v>0.3981071705534972</v>
      </c>
      <c r="H87" s="2">
        <f>20*LOG10(FieldFox!D87)</f>
        <v>-9.5424250943932485</v>
      </c>
      <c r="I87" s="2">
        <f>FieldFox!AJ87</f>
        <v>24.489999999999988</v>
      </c>
      <c r="J87" s="2">
        <f>'Meas. Noise Std'!AA88</f>
        <v>5</v>
      </c>
      <c r="K87" s="2">
        <f>'User Cal. Noise Std'!AA88</f>
        <v>12</v>
      </c>
      <c r="L87" s="2">
        <f>'Meas. Noise Std'!AB88</f>
        <v>0.1</v>
      </c>
      <c r="M87" s="2">
        <f>'Meas. Noise Std'!AC88</f>
        <v>0.1</v>
      </c>
      <c r="N87" s="2">
        <f>'User Cal. Noise Std'!AC88</f>
        <v>0.22</v>
      </c>
      <c r="O87" s="2">
        <f>'Meas. Noise Std'!AD88</f>
        <v>1</v>
      </c>
      <c r="P87" s="2">
        <f>'User Cal. Noise Std'!AD88</f>
        <v>0.12</v>
      </c>
      <c r="Q87" s="2">
        <f>FieldFox!AI87</f>
        <v>0.30000000000000004</v>
      </c>
      <c r="T87" s="2">
        <f>DUT!AH88</f>
        <v>0</v>
      </c>
      <c r="U87" s="2">
        <f>Preamp!AH88</f>
        <v>0</v>
      </c>
      <c r="V87" s="2">
        <f>DUT!AG88</f>
        <v>0.31622776601683794</v>
      </c>
    </row>
    <row r="88" spans="1:22">
      <c r="A88" s="2">
        <f>MIN(StopFreqGHz+0.000001,Result!A87+FreqStep)</f>
        <v>26.500001000000001</v>
      </c>
      <c r="B88" s="2">
        <f t="shared" si="2"/>
        <v>22.990000260000002</v>
      </c>
      <c r="C88" s="2">
        <f>DUT!AD89</f>
        <v>20</v>
      </c>
      <c r="D88" s="2">
        <f>DUT!AF89</f>
        <v>0.2</v>
      </c>
      <c r="E88" s="2">
        <f>Preamp!AD89</f>
        <v>22.990000260000002</v>
      </c>
      <c r="F88" s="2">
        <f>Preamp!AE89</f>
        <v>5</v>
      </c>
      <c r="G88" s="2">
        <f>Preamp!AF89</f>
        <v>0.3981071705534972</v>
      </c>
      <c r="H88" s="2">
        <f>20*LOG10(FieldFox!D88)</f>
        <v>-9.5424250943932485</v>
      </c>
      <c r="I88" s="2">
        <f>FieldFox!AJ88</f>
        <v>24.489999999999988</v>
      </c>
      <c r="J88" s="2">
        <f>'Meas. Noise Std'!AA89</f>
        <v>5</v>
      </c>
      <c r="K88" s="2">
        <f>'User Cal. Noise Std'!AA89</f>
        <v>12</v>
      </c>
      <c r="L88" s="2">
        <f>'Meas. Noise Std'!AB89</f>
        <v>0.1</v>
      </c>
      <c r="M88" s="2">
        <f>'Meas. Noise Std'!AC89</f>
        <v>0.1</v>
      </c>
      <c r="N88" s="2">
        <f>'User Cal. Noise Std'!AC89</f>
        <v>0.22</v>
      </c>
      <c r="O88" s="2">
        <f>'Meas. Noise Std'!AD89</f>
        <v>1</v>
      </c>
      <c r="P88" s="2">
        <f>'User Cal. Noise Std'!AD89</f>
        <v>0.12</v>
      </c>
      <c r="Q88" s="2">
        <f>FieldFox!AI88</f>
        <v>0.30000000000000004</v>
      </c>
      <c r="T88" s="2">
        <f>DUT!AH89</f>
        <v>0</v>
      </c>
      <c r="U88" s="2">
        <f>Preamp!AH89</f>
        <v>0</v>
      </c>
      <c r="V88" s="2">
        <f>DUT!AG89</f>
        <v>0.31622776601683794</v>
      </c>
    </row>
    <row r="89" spans="1:22">
      <c r="A89" s="2">
        <f>MIN(StopFreqGHz+0.000001,Result!A88+FreqStep)</f>
        <v>26.500001000000001</v>
      </c>
      <c r="B89" s="2">
        <f t="shared" si="2"/>
        <v>22.990000260000002</v>
      </c>
      <c r="C89" s="2">
        <f>DUT!AD90</f>
        <v>20</v>
      </c>
      <c r="D89" s="2">
        <f>DUT!AF90</f>
        <v>0.2</v>
      </c>
      <c r="E89" s="2">
        <f>Preamp!AD90</f>
        <v>22.990000260000002</v>
      </c>
      <c r="F89" s="2">
        <f>Preamp!AE90</f>
        <v>5</v>
      </c>
      <c r="G89" s="2">
        <f>Preamp!AF90</f>
        <v>0.3981071705534972</v>
      </c>
      <c r="H89" s="2">
        <f>20*LOG10(FieldFox!D89)</f>
        <v>-9.5424250943932485</v>
      </c>
      <c r="I89" s="2">
        <f>FieldFox!AJ89</f>
        <v>24.489999999999988</v>
      </c>
      <c r="J89" s="2">
        <f>'Meas. Noise Std'!AA90</f>
        <v>5</v>
      </c>
      <c r="K89" s="2">
        <f>'User Cal. Noise Std'!AA90</f>
        <v>12</v>
      </c>
      <c r="L89" s="2">
        <f>'Meas. Noise Std'!AB90</f>
        <v>0.1</v>
      </c>
      <c r="M89" s="2">
        <f>'Meas. Noise Std'!AC90</f>
        <v>0.1</v>
      </c>
      <c r="N89" s="2">
        <f>'User Cal. Noise Std'!AC90</f>
        <v>0.22</v>
      </c>
      <c r="O89" s="2">
        <f>'Meas. Noise Std'!AD90</f>
        <v>1</v>
      </c>
      <c r="P89" s="2">
        <f>'User Cal. Noise Std'!AD90</f>
        <v>0.12</v>
      </c>
      <c r="Q89" s="2">
        <f>FieldFox!AI89</f>
        <v>0.30000000000000004</v>
      </c>
      <c r="T89" s="2">
        <f>DUT!AH90</f>
        <v>0</v>
      </c>
      <c r="U89" s="2">
        <f>Preamp!AH90</f>
        <v>0</v>
      </c>
      <c r="V89" s="2">
        <f>DUT!AG90</f>
        <v>0.31622776601683794</v>
      </c>
    </row>
    <row r="90" spans="1:22">
      <c r="A90" s="2">
        <f>MIN(StopFreqGHz+0.000001,Result!A89+FreqStep)</f>
        <v>26.500001000000001</v>
      </c>
      <c r="B90" s="2">
        <f t="shared" si="2"/>
        <v>22.990000260000002</v>
      </c>
      <c r="C90" s="2">
        <f>DUT!AD91</f>
        <v>20</v>
      </c>
      <c r="D90" s="2">
        <f>DUT!AF91</f>
        <v>0.2</v>
      </c>
      <c r="E90" s="2">
        <f>Preamp!AD91</f>
        <v>22.990000260000002</v>
      </c>
      <c r="F90" s="2">
        <f>Preamp!AE91</f>
        <v>5</v>
      </c>
      <c r="G90" s="2">
        <f>Preamp!AF91</f>
        <v>0.3981071705534972</v>
      </c>
      <c r="H90" s="2">
        <f>20*LOG10(FieldFox!D90)</f>
        <v>-9.5424250943932485</v>
      </c>
      <c r="I90" s="2">
        <f>FieldFox!AJ90</f>
        <v>24.489999999999988</v>
      </c>
      <c r="J90" s="2">
        <f>'Meas. Noise Std'!AA91</f>
        <v>5</v>
      </c>
      <c r="K90" s="2">
        <f>'User Cal. Noise Std'!AA91</f>
        <v>12</v>
      </c>
      <c r="L90" s="2">
        <f>'Meas. Noise Std'!AB91</f>
        <v>0.1</v>
      </c>
      <c r="M90" s="2">
        <f>'Meas. Noise Std'!AC91</f>
        <v>0.1</v>
      </c>
      <c r="N90" s="2">
        <f>'User Cal. Noise Std'!AC91</f>
        <v>0.22</v>
      </c>
      <c r="O90" s="2">
        <f>'Meas. Noise Std'!AD91</f>
        <v>1</v>
      </c>
      <c r="P90" s="2">
        <f>'User Cal. Noise Std'!AD91</f>
        <v>0.12</v>
      </c>
      <c r="Q90" s="2">
        <f>FieldFox!AI90</f>
        <v>0.30000000000000004</v>
      </c>
      <c r="T90" s="2">
        <f>DUT!AH91</f>
        <v>0</v>
      </c>
      <c r="U90" s="2">
        <f>Preamp!AH91</f>
        <v>0</v>
      </c>
      <c r="V90" s="2">
        <f>DUT!AG91</f>
        <v>0.31622776601683794</v>
      </c>
    </row>
    <row r="91" spans="1:22">
      <c r="A91" s="2">
        <f>MIN(StopFreqGHz+0.000001,Result!A90+FreqStep)</f>
        <v>26.500001000000001</v>
      </c>
      <c r="B91" s="2">
        <f t="shared" si="2"/>
        <v>22.990000260000002</v>
      </c>
      <c r="C91" s="2">
        <f>DUT!AD92</f>
        <v>20</v>
      </c>
      <c r="D91" s="2">
        <f>DUT!AF92</f>
        <v>0.2</v>
      </c>
      <c r="E91" s="2">
        <f>Preamp!AD92</f>
        <v>22.990000260000002</v>
      </c>
      <c r="F91" s="2">
        <f>Preamp!AE92</f>
        <v>5</v>
      </c>
      <c r="G91" s="2">
        <f>Preamp!AF92</f>
        <v>0.3981071705534972</v>
      </c>
      <c r="H91" s="2">
        <f>20*LOG10(FieldFox!D91)</f>
        <v>-9.5424250943932485</v>
      </c>
      <c r="I91" s="2">
        <f>FieldFox!AJ91</f>
        <v>24.489999999999988</v>
      </c>
      <c r="J91" s="2">
        <f>'Meas. Noise Std'!AA92</f>
        <v>5</v>
      </c>
      <c r="K91" s="2">
        <f>'User Cal. Noise Std'!AA92</f>
        <v>12</v>
      </c>
      <c r="L91" s="2">
        <f>'Meas. Noise Std'!AB92</f>
        <v>0.1</v>
      </c>
      <c r="M91" s="2">
        <f>'Meas. Noise Std'!AC92</f>
        <v>0.1</v>
      </c>
      <c r="N91" s="2">
        <f>'User Cal. Noise Std'!AC92</f>
        <v>0.22</v>
      </c>
      <c r="O91" s="2">
        <f>'Meas. Noise Std'!AD92</f>
        <v>1</v>
      </c>
      <c r="P91" s="2">
        <f>'User Cal. Noise Std'!AD92</f>
        <v>0.12</v>
      </c>
      <c r="Q91" s="2">
        <f>FieldFox!AI91</f>
        <v>0.30000000000000004</v>
      </c>
      <c r="T91" s="2">
        <f>DUT!AH92</f>
        <v>0</v>
      </c>
      <c r="U91" s="2">
        <f>Preamp!AH92</f>
        <v>0</v>
      </c>
      <c r="V91" s="2">
        <f>DUT!AG92</f>
        <v>0.31622776601683794</v>
      </c>
    </row>
    <row r="92" spans="1:22">
      <c r="A92" s="2">
        <f>MIN(StopFreqGHz+0.000001,Result!A91+FreqStep)</f>
        <v>26.500001000000001</v>
      </c>
      <c r="B92" s="2">
        <f t="shared" si="2"/>
        <v>22.990000260000002</v>
      </c>
      <c r="C92" s="2">
        <f>DUT!AD93</f>
        <v>20</v>
      </c>
      <c r="D92" s="2">
        <f>DUT!AF93</f>
        <v>0.2</v>
      </c>
      <c r="E92" s="2">
        <f>Preamp!AD93</f>
        <v>22.990000260000002</v>
      </c>
      <c r="F92" s="2">
        <f>Preamp!AE93</f>
        <v>5</v>
      </c>
      <c r="G92" s="2">
        <f>Preamp!AF93</f>
        <v>0.3981071705534972</v>
      </c>
      <c r="H92" s="2">
        <f>20*LOG10(FieldFox!D92)</f>
        <v>-9.5424250943932485</v>
      </c>
      <c r="I92" s="2">
        <f>FieldFox!AJ92</f>
        <v>24.489999999999988</v>
      </c>
      <c r="J92" s="2">
        <f>'Meas. Noise Std'!AA93</f>
        <v>5</v>
      </c>
      <c r="K92" s="2">
        <f>'User Cal. Noise Std'!AA93</f>
        <v>12</v>
      </c>
      <c r="L92" s="2">
        <f>'Meas. Noise Std'!AB93</f>
        <v>0.1</v>
      </c>
      <c r="M92" s="2">
        <f>'Meas. Noise Std'!AC93</f>
        <v>0.1</v>
      </c>
      <c r="N92" s="2">
        <f>'User Cal. Noise Std'!AC93</f>
        <v>0.22</v>
      </c>
      <c r="O92" s="2">
        <f>'Meas. Noise Std'!AD93</f>
        <v>1</v>
      </c>
      <c r="P92" s="2">
        <f>'User Cal. Noise Std'!AD93</f>
        <v>0.12</v>
      </c>
      <c r="Q92" s="2">
        <f>FieldFox!AI92</f>
        <v>0.30000000000000004</v>
      </c>
      <c r="T92" s="2">
        <f>DUT!AH93</f>
        <v>0</v>
      </c>
      <c r="U92" s="2">
        <f>Preamp!AH93</f>
        <v>0</v>
      </c>
      <c r="V92" s="2">
        <f>DUT!AG93</f>
        <v>0.31622776601683794</v>
      </c>
    </row>
    <row r="93" spans="1:22">
      <c r="A93" s="2">
        <f>MIN(StopFreqGHz+0.000001,Result!A92+FreqStep)</f>
        <v>26.500001000000001</v>
      </c>
      <c r="B93" s="2">
        <f t="shared" si="2"/>
        <v>22.990000260000002</v>
      </c>
      <c r="C93" s="2">
        <f>DUT!AD94</f>
        <v>20</v>
      </c>
      <c r="D93" s="2">
        <f>DUT!AF94</f>
        <v>0.2</v>
      </c>
      <c r="E93" s="2">
        <f>Preamp!AD94</f>
        <v>22.990000260000002</v>
      </c>
      <c r="F93" s="2">
        <f>Preamp!AE94</f>
        <v>5</v>
      </c>
      <c r="G93" s="2">
        <f>Preamp!AF94</f>
        <v>0.3981071705534972</v>
      </c>
      <c r="H93" s="2">
        <f>20*LOG10(FieldFox!D93)</f>
        <v>-9.5424250943932485</v>
      </c>
      <c r="I93" s="2">
        <f>FieldFox!AJ93</f>
        <v>24.489999999999988</v>
      </c>
      <c r="J93" s="2">
        <f>'Meas. Noise Std'!AA94</f>
        <v>5</v>
      </c>
      <c r="K93" s="2">
        <f>'User Cal. Noise Std'!AA94</f>
        <v>12</v>
      </c>
      <c r="L93" s="2">
        <f>'Meas. Noise Std'!AB94</f>
        <v>0.1</v>
      </c>
      <c r="M93" s="2">
        <f>'Meas. Noise Std'!AC94</f>
        <v>0.1</v>
      </c>
      <c r="N93" s="2">
        <f>'User Cal. Noise Std'!AC94</f>
        <v>0.22</v>
      </c>
      <c r="O93" s="2">
        <f>'Meas. Noise Std'!AD94</f>
        <v>1</v>
      </c>
      <c r="P93" s="2">
        <f>'User Cal. Noise Std'!AD94</f>
        <v>0.12</v>
      </c>
      <c r="Q93" s="2">
        <f>FieldFox!AI93</f>
        <v>0.30000000000000004</v>
      </c>
      <c r="T93" s="2">
        <f>DUT!AH94</f>
        <v>0</v>
      </c>
      <c r="U93" s="2">
        <f>Preamp!AH94</f>
        <v>0</v>
      </c>
      <c r="V93" s="2">
        <f>DUT!AG94</f>
        <v>0.31622776601683794</v>
      </c>
    </row>
    <row r="94" spans="1:22">
      <c r="A94" s="2">
        <f>MIN(StopFreqGHz+0.000001,Result!A93+FreqStep)</f>
        <v>26.500001000000001</v>
      </c>
      <c r="B94" s="2">
        <f t="shared" si="2"/>
        <v>22.990000260000002</v>
      </c>
      <c r="C94" s="2">
        <f>DUT!AD95</f>
        <v>20</v>
      </c>
      <c r="D94" s="2">
        <f>DUT!AF95</f>
        <v>0.2</v>
      </c>
      <c r="E94" s="2">
        <f>Preamp!AD95</f>
        <v>22.990000260000002</v>
      </c>
      <c r="F94" s="2">
        <f>Preamp!AE95</f>
        <v>5</v>
      </c>
      <c r="G94" s="2">
        <f>Preamp!AF95</f>
        <v>0.3981071705534972</v>
      </c>
      <c r="H94" s="2">
        <f>20*LOG10(FieldFox!D94)</f>
        <v>-9.5424250943932485</v>
      </c>
      <c r="I94" s="2">
        <f>FieldFox!AJ94</f>
        <v>24.489999999999988</v>
      </c>
      <c r="J94" s="2">
        <f>'Meas. Noise Std'!AA95</f>
        <v>5</v>
      </c>
      <c r="K94" s="2">
        <f>'User Cal. Noise Std'!AA95</f>
        <v>12</v>
      </c>
      <c r="L94" s="2">
        <f>'Meas. Noise Std'!AB95</f>
        <v>0.1</v>
      </c>
      <c r="M94" s="2">
        <f>'Meas. Noise Std'!AC95</f>
        <v>0.1</v>
      </c>
      <c r="N94" s="2">
        <f>'User Cal. Noise Std'!AC95</f>
        <v>0.22</v>
      </c>
      <c r="O94" s="2">
        <f>'Meas. Noise Std'!AD95</f>
        <v>1</v>
      </c>
      <c r="P94" s="2">
        <f>'User Cal. Noise Std'!AD95</f>
        <v>0.12</v>
      </c>
      <c r="Q94" s="2">
        <f>FieldFox!AI94</f>
        <v>0.30000000000000004</v>
      </c>
      <c r="T94" s="2">
        <f>DUT!AH95</f>
        <v>0</v>
      </c>
      <c r="U94" s="2">
        <f>Preamp!AH95</f>
        <v>0</v>
      </c>
      <c r="V94" s="2">
        <f>DUT!AG95</f>
        <v>0.31622776601683794</v>
      </c>
    </row>
    <row r="95" spans="1:22">
      <c r="A95" s="2">
        <f>MIN(StopFreqGHz+0.000001,Result!A94+FreqStep)</f>
        <v>26.500001000000001</v>
      </c>
      <c r="B95" s="2">
        <f t="shared" si="2"/>
        <v>22.990000260000002</v>
      </c>
      <c r="C95" s="2">
        <f>DUT!AD96</f>
        <v>20</v>
      </c>
      <c r="D95" s="2">
        <f>DUT!AF96</f>
        <v>0.2</v>
      </c>
      <c r="E95" s="2">
        <f>Preamp!AD96</f>
        <v>22.990000260000002</v>
      </c>
      <c r="F95" s="2">
        <f>Preamp!AE96</f>
        <v>5</v>
      </c>
      <c r="G95" s="2">
        <f>Preamp!AF96</f>
        <v>0.3981071705534972</v>
      </c>
      <c r="H95" s="2">
        <f>20*LOG10(FieldFox!D95)</f>
        <v>-9.5424250943932485</v>
      </c>
      <c r="I95" s="2">
        <f>FieldFox!AJ95</f>
        <v>24.489999999999988</v>
      </c>
      <c r="J95" s="2">
        <f>'Meas. Noise Std'!AA96</f>
        <v>5</v>
      </c>
      <c r="K95" s="2">
        <f>'User Cal. Noise Std'!AA96</f>
        <v>12</v>
      </c>
      <c r="L95" s="2">
        <f>'Meas. Noise Std'!AB96</f>
        <v>0.1</v>
      </c>
      <c r="M95" s="2">
        <f>'Meas. Noise Std'!AC96</f>
        <v>0.1</v>
      </c>
      <c r="N95" s="2">
        <f>'User Cal. Noise Std'!AC96</f>
        <v>0.22</v>
      </c>
      <c r="O95" s="2">
        <f>'Meas. Noise Std'!AD96</f>
        <v>1</v>
      </c>
      <c r="P95" s="2">
        <f>'User Cal. Noise Std'!AD96</f>
        <v>0.12</v>
      </c>
      <c r="Q95" s="2">
        <f>FieldFox!AI95</f>
        <v>0.30000000000000004</v>
      </c>
      <c r="T95" s="2">
        <f>DUT!AH96</f>
        <v>0</v>
      </c>
      <c r="U95" s="2">
        <f>Preamp!AH96</f>
        <v>0</v>
      </c>
      <c r="V95" s="2">
        <f>DUT!AG96</f>
        <v>0.31622776601683794</v>
      </c>
    </row>
    <row r="96" spans="1:22">
      <c r="A96" s="2">
        <f>MIN(StopFreqGHz+0.000001,Result!A95+FreqStep)</f>
        <v>26.500001000000001</v>
      </c>
      <c r="B96" s="2">
        <f t="shared" si="2"/>
        <v>22.990000260000002</v>
      </c>
      <c r="C96" s="2">
        <f>DUT!AD97</f>
        <v>20</v>
      </c>
      <c r="D96" s="2">
        <f>DUT!AF97</f>
        <v>0.2</v>
      </c>
      <c r="E96" s="2">
        <f>Preamp!AD97</f>
        <v>22.990000260000002</v>
      </c>
      <c r="F96" s="2">
        <f>Preamp!AE97</f>
        <v>5</v>
      </c>
      <c r="G96" s="2">
        <f>Preamp!AF97</f>
        <v>0.3981071705534972</v>
      </c>
      <c r="H96" s="2">
        <f>20*LOG10(FieldFox!D96)</f>
        <v>-9.5424250943932485</v>
      </c>
      <c r="I96" s="2">
        <f>FieldFox!AJ96</f>
        <v>24.489999999999988</v>
      </c>
      <c r="J96" s="2">
        <f>'Meas. Noise Std'!AA97</f>
        <v>5</v>
      </c>
      <c r="K96" s="2">
        <f>'User Cal. Noise Std'!AA97</f>
        <v>12</v>
      </c>
      <c r="L96" s="2">
        <f>'Meas. Noise Std'!AB97</f>
        <v>0.1</v>
      </c>
      <c r="M96" s="2">
        <f>'Meas. Noise Std'!AC97</f>
        <v>0.1</v>
      </c>
      <c r="N96" s="2">
        <f>'User Cal. Noise Std'!AC97</f>
        <v>0.22</v>
      </c>
      <c r="O96" s="2">
        <f>'Meas. Noise Std'!AD97</f>
        <v>1</v>
      </c>
      <c r="P96" s="2">
        <f>'User Cal. Noise Std'!AD97</f>
        <v>0.12</v>
      </c>
      <c r="Q96" s="2">
        <f>FieldFox!AI96</f>
        <v>0.30000000000000004</v>
      </c>
      <c r="T96" s="2">
        <f>DUT!AH97</f>
        <v>0</v>
      </c>
      <c r="U96" s="2">
        <f>Preamp!AH97</f>
        <v>0</v>
      </c>
      <c r="V96" s="2">
        <f>DUT!AG97</f>
        <v>0.31622776601683794</v>
      </c>
    </row>
    <row r="97" spans="1:22">
      <c r="A97" s="2">
        <f>MIN(StopFreqGHz+0.000001,Result!A96+FreqStep)</f>
        <v>26.500001000000001</v>
      </c>
      <c r="B97" s="2">
        <f t="shared" si="2"/>
        <v>22.990000260000002</v>
      </c>
      <c r="C97" s="2">
        <f>DUT!AD98</f>
        <v>20</v>
      </c>
      <c r="D97" s="2">
        <f>DUT!AF98</f>
        <v>0.2</v>
      </c>
      <c r="E97" s="2">
        <f>Preamp!AD98</f>
        <v>22.990000260000002</v>
      </c>
      <c r="F97" s="2">
        <f>Preamp!AE98</f>
        <v>5</v>
      </c>
      <c r="G97" s="2">
        <f>Preamp!AF98</f>
        <v>0.3981071705534972</v>
      </c>
      <c r="H97" s="2">
        <f>20*LOG10(FieldFox!D97)</f>
        <v>-9.5424250943932485</v>
      </c>
      <c r="I97" s="2">
        <f>FieldFox!AJ97</f>
        <v>24.489999999999988</v>
      </c>
      <c r="J97" s="2">
        <f>'Meas. Noise Std'!AA98</f>
        <v>5</v>
      </c>
      <c r="K97" s="2">
        <f>'User Cal. Noise Std'!AA98</f>
        <v>12</v>
      </c>
      <c r="L97" s="2">
        <f>'Meas. Noise Std'!AB98</f>
        <v>0.1</v>
      </c>
      <c r="M97" s="2">
        <f>'Meas. Noise Std'!AC98</f>
        <v>0.1</v>
      </c>
      <c r="N97" s="2">
        <f>'User Cal. Noise Std'!AC98</f>
        <v>0.22</v>
      </c>
      <c r="O97" s="2">
        <f>'Meas. Noise Std'!AD98</f>
        <v>1</v>
      </c>
      <c r="P97" s="2">
        <f>'User Cal. Noise Std'!AD98</f>
        <v>0.12</v>
      </c>
      <c r="Q97" s="2">
        <f>FieldFox!AI97</f>
        <v>0.30000000000000004</v>
      </c>
      <c r="T97" s="2">
        <f>DUT!AH98</f>
        <v>0</v>
      </c>
      <c r="U97" s="2">
        <f>Preamp!AH98</f>
        <v>0</v>
      </c>
      <c r="V97" s="2">
        <f>DUT!AG98</f>
        <v>0.31622776601683794</v>
      </c>
    </row>
    <row r="98" spans="1:22">
      <c r="A98" s="2">
        <f>MIN(StopFreqGHz+0.000001,Result!A97+FreqStep)</f>
        <v>26.500001000000001</v>
      </c>
      <c r="B98" s="2">
        <f t="shared" si="2"/>
        <v>22.990000260000002</v>
      </c>
      <c r="C98" s="2">
        <f>DUT!AD99</f>
        <v>20</v>
      </c>
      <c r="D98" s="2">
        <f>DUT!AF99</f>
        <v>0.2</v>
      </c>
      <c r="E98" s="2">
        <f>Preamp!AD99</f>
        <v>22.990000260000002</v>
      </c>
      <c r="F98" s="2">
        <f>Preamp!AE99</f>
        <v>5</v>
      </c>
      <c r="G98" s="2">
        <f>Preamp!AF99</f>
        <v>0.3981071705534972</v>
      </c>
      <c r="H98" s="2">
        <f>20*LOG10(FieldFox!D98)</f>
        <v>-9.5424250943932485</v>
      </c>
      <c r="I98" s="2">
        <f>FieldFox!AJ98</f>
        <v>24.489999999999988</v>
      </c>
      <c r="J98" s="2">
        <f>'Meas. Noise Std'!AA99</f>
        <v>5</v>
      </c>
      <c r="K98" s="2">
        <f>'User Cal. Noise Std'!AA99</f>
        <v>12</v>
      </c>
      <c r="L98" s="2">
        <f>'Meas. Noise Std'!AB99</f>
        <v>0.1</v>
      </c>
      <c r="M98" s="2">
        <f>'Meas. Noise Std'!AC99</f>
        <v>0.1</v>
      </c>
      <c r="N98" s="2">
        <f>'User Cal. Noise Std'!AC99</f>
        <v>0.22</v>
      </c>
      <c r="O98" s="2">
        <f>'Meas. Noise Std'!AD99</f>
        <v>1</v>
      </c>
      <c r="P98" s="2">
        <f>'User Cal. Noise Std'!AD99</f>
        <v>0.12</v>
      </c>
      <c r="Q98" s="2">
        <f>FieldFox!AI98</f>
        <v>0.30000000000000004</v>
      </c>
      <c r="T98" s="2">
        <f>DUT!AH99</f>
        <v>0</v>
      </c>
      <c r="U98" s="2">
        <f>Preamp!AH99</f>
        <v>0</v>
      </c>
      <c r="V98" s="2">
        <f>DUT!AG99</f>
        <v>0.31622776601683794</v>
      </c>
    </row>
    <row r="99" spans="1:22">
      <c r="A99" s="2">
        <f>MIN(StopFreqGHz+0.000001,Result!A98+FreqStep)</f>
        <v>26.500001000000001</v>
      </c>
      <c r="B99" s="2">
        <f t="shared" si="2"/>
        <v>22.990000260000002</v>
      </c>
      <c r="C99" s="2">
        <f>DUT!AD100</f>
        <v>20</v>
      </c>
      <c r="D99" s="2">
        <f>DUT!AF100</f>
        <v>0.2</v>
      </c>
      <c r="E99" s="2">
        <f>Preamp!AD100</f>
        <v>22.990000260000002</v>
      </c>
      <c r="F99" s="2">
        <f>Preamp!AE100</f>
        <v>5</v>
      </c>
      <c r="G99" s="2">
        <f>Preamp!AF100</f>
        <v>0.3981071705534972</v>
      </c>
      <c r="H99" s="2">
        <f>20*LOG10(FieldFox!D99)</f>
        <v>-9.5424250943932485</v>
      </c>
      <c r="I99" s="2">
        <f>FieldFox!AJ99</f>
        <v>24.489999999999988</v>
      </c>
      <c r="J99" s="2">
        <f>'Meas. Noise Std'!AA100</f>
        <v>5</v>
      </c>
      <c r="K99" s="2">
        <f>'User Cal. Noise Std'!AA100</f>
        <v>12</v>
      </c>
      <c r="L99" s="2">
        <f>'Meas. Noise Std'!AB100</f>
        <v>0.1</v>
      </c>
      <c r="M99" s="2">
        <f>'Meas. Noise Std'!AC100</f>
        <v>0.1</v>
      </c>
      <c r="N99" s="2">
        <f>'User Cal. Noise Std'!AC100</f>
        <v>0.22</v>
      </c>
      <c r="O99" s="2">
        <f>'Meas. Noise Std'!AD100</f>
        <v>1</v>
      </c>
      <c r="P99" s="2">
        <f>'User Cal. Noise Std'!AD100</f>
        <v>0.12</v>
      </c>
      <c r="Q99" s="2">
        <f>FieldFox!AI99</f>
        <v>0.30000000000000004</v>
      </c>
      <c r="T99" s="2">
        <f>DUT!AH100</f>
        <v>0</v>
      </c>
      <c r="U99" s="2">
        <f>Preamp!AH100</f>
        <v>0</v>
      </c>
      <c r="V99" s="2">
        <f>DUT!AG100</f>
        <v>0.31622776601683794</v>
      </c>
    </row>
    <row r="100" spans="1:22">
      <c r="A100" s="2">
        <f>MIN(StopFreqGHz+0.000001,Result!A99+FreqStep)</f>
        <v>26.500001000000001</v>
      </c>
      <c r="B100" s="2">
        <f t="shared" ref="B100:B106" si="3">CHOOSE(SelectInfoDisplay,C100,D100,E100,F100,G100,I100,J100,L100,M100,O100,Q100,K100,N100,P100,V100,W100)</f>
        <v>22.990000260000002</v>
      </c>
      <c r="C100" s="2">
        <f>DUT!AD101</f>
        <v>20</v>
      </c>
      <c r="D100" s="2">
        <f>DUT!AF101</f>
        <v>0.2</v>
      </c>
      <c r="E100" s="2">
        <f>Preamp!AD101</f>
        <v>22.990000260000002</v>
      </c>
      <c r="F100" s="2">
        <f>Preamp!AE101</f>
        <v>5</v>
      </c>
      <c r="G100" s="2">
        <f>Preamp!AF101</f>
        <v>0.3981071705534972</v>
      </c>
      <c r="H100" s="2">
        <f>20*LOG10(FieldFox!D100)</f>
        <v>-9.5424250943932485</v>
      </c>
      <c r="I100" s="2">
        <f>FieldFox!AJ100</f>
        <v>24.489999999999988</v>
      </c>
      <c r="J100" s="2">
        <f>'Meas. Noise Std'!AA101</f>
        <v>5</v>
      </c>
      <c r="K100" s="2">
        <f>'User Cal. Noise Std'!AA101</f>
        <v>12</v>
      </c>
      <c r="L100" s="2">
        <f>'Meas. Noise Std'!AB101</f>
        <v>0.1</v>
      </c>
      <c r="M100" s="2">
        <f>'Meas. Noise Std'!AC101</f>
        <v>0.1</v>
      </c>
      <c r="N100" s="2">
        <f>'User Cal. Noise Std'!AC101</f>
        <v>0.22</v>
      </c>
      <c r="O100" s="2">
        <f>'Meas. Noise Std'!AD101</f>
        <v>1</v>
      </c>
      <c r="P100" s="2">
        <f>'User Cal. Noise Std'!AD101</f>
        <v>0.12</v>
      </c>
      <c r="Q100" s="2">
        <f>FieldFox!AI100</f>
        <v>0.30000000000000004</v>
      </c>
      <c r="T100" s="2">
        <f>DUT!AH101</f>
        <v>0</v>
      </c>
      <c r="U100" s="2">
        <f>Preamp!AH101</f>
        <v>0</v>
      </c>
      <c r="V100" s="2">
        <f>DUT!AG101</f>
        <v>0.31622776601683794</v>
      </c>
    </row>
    <row r="101" spans="1:22">
      <c r="A101" s="2">
        <f>MIN(StopFreqGHz+0.000001,Result!A100+FreqStep)</f>
        <v>26.500001000000001</v>
      </c>
      <c r="B101" s="2">
        <f t="shared" si="3"/>
        <v>22.990000260000002</v>
      </c>
      <c r="C101" s="2">
        <f>DUT!AD102</f>
        <v>20</v>
      </c>
      <c r="D101" s="2">
        <f>DUT!AF102</f>
        <v>0.2</v>
      </c>
      <c r="E101" s="2">
        <f>Preamp!AD102</f>
        <v>22.990000260000002</v>
      </c>
      <c r="F101" s="2">
        <f>Preamp!AE102</f>
        <v>5</v>
      </c>
      <c r="G101" s="2">
        <f>Preamp!AF102</f>
        <v>0.3981071705534972</v>
      </c>
      <c r="H101" s="2">
        <f>20*LOG10(FieldFox!D101)</f>
        <v>-9.5424250943932485</v>
      </c>
      <c r="I101" s="2">
        <f>FieldFox!AJ101</f>
        <v>24.489999999999988</v>
      </c>
      <c r="J101" s="2">
        <f>'Meas. Noise Std'!AA102</f>
        <v>5</v>
      </c>
      <c r="K101" s="2">
        <f>'User Cal. Noise Std'!AA102</f>
        <v>12</v>
      </c>
      <c r="L101" s="2">
        <f>'Meas. Noise Std'!AB102</f>
        <v>0.1</v>
      </c>
      <c r="M101" s="2">
        <f>'Meas. Noise Std'!AC102</f>
        <v>0.1</v>
      </c>
      <c r="N101" s="2">
        <f>'User Cal. Noise Std'!AC102</f>
        <v>0.22</v>
      </c>
      <c r="O101" s="2">
        <f>'Meas. Noise Std'!AD102</f>
        <v>1</v>
      </c>
      <c r="P101" s="2">
        <f>'User Cal. Noise Std'!AD102</f>
        <v>0.12</v>
      </c>
      <c r="Q101" s="2">
        <f>FieldFox!AI101</f>
        <v>0.30000000000000004</v>
      </c>
      <c r="T101" s="2">
        <f>DUT!AH102</f>
        <v>0</v>
      </c>
      <c r="U101" s="2">
        <f>Preamp!AH102</f>
        <v>0</v>
      </c>
      <c r="V101" s="2">
        <f>DUT!AG102</f>
        <v>0.31622776601683794</v>
      </c>
    </row>
    <row r="102" spans="1:22">
      <c r="A102" s="2">
        <f>MIN(StopFreqGHz+0.000001,Result!A101+FreqStep)</f>
        <v>26.500001000000001</v>
      </c>
      <c r="B102" s="2">
        <f t="shared" si="3"/>
        <v>22.990000260000002</v>
      </c>
      <c r="C102" s="2">
        <f>DUT!AD103</f>
        <v>20</v>
      </c>
      <c r="D102" s="2">
        <f>DUT!AF103</f>
        <v>0.2</v>
      </c>
      <c r="E102" s="2">
        <f>Preamp!AD103</f>
        <v>22.990000260000002</v>
      </c>
      <c r="F102" s="2">
        <f>Preamp!AE103</f>
        <v>5</v>
      </c>
      <c r="G102" s="2">
        <f>Preamp!AF103</f>
        <v>0.3981071705534972</v>
      </c>
      <c r="H102" s="2">
        <f>20*LOG10(FieldFox!D102)</f>
        <v>-9.5424250943932485</v>
      </c>
      <c r="I102" s="2">
        <f>FieldFox!AJ102</f>
        <v>24.489999999999988</v>
      </c>
      <c r="J102" s="2">
        <f>'Meas. Noise Std'!AA103</f>
        <v>5</v>
      </c>
      <c r="K102" s="2">
        <f>'User Cal. Noise Std'!AA103</f>
        <v>12</v>
      </c>
      <c r="L102" s="2">
        <f>'Meas. Noise Std'!AB103</f>
        <v>0.1</v>
      </c>
      <c r="M102" s="2">
        <f>'Meas. Noise Std'!AC103</f>
        <v>0.1</v>
      </c>
      <c r="N102" s="2">
        <f>'User Cal. Noise Std'!AC103</f>
        <v>0.22</v>
      </c>
      <c r="O102" s="2">
        <f>'Meas. Noise Std'!AD103</f>
        <v>1</v>
      </c>
      <c r="P102" s="2">
        <f>'User Cal. Noise Std'!AD103</f>
        <v>0.12</v>
      </c>
      <c r="Q102" s="2">
        <f>FieldFox!AI102</f>
        <v>0.30000000000000004</v>
      </c>
      <c r="T102" s="2">
        <f>DUT!AH103</f>
        <v>0</v>
      </c>
      <c r="U102" s="2">
        <f>Preamp!AH103</f>
        <v>0</v>
      </c>
      <c r="V102" s="2">
        <f>DUT!AG103</f>
        <v>0.31622776601683794</v>
      </c>
    </row>
    <row r="103" spans="1:22">
      <c r="A103" s="2">
        <f>MIN(StopFreqGHz+0.000001,Result!A102+FreqStep)</f>
        <v>26.500001000000001</v>
      </c>
      <c r="B103" s="2">
        <f t="shared" si="3"/>
        <v>22.990000260000002</v>
      </c>
      <c r="C103" s="2">
        <f>DUT!AD104</f>
        <v>20</v>
      </c>
      <c r="D103" s="2">
        <f>DUT!AF104</f>
        <v>0.2</v>
      </c>
      <c r="E103" s="2">
        <f>Preamp!AD104</f>
        <v>22.990000260000002</v>
      </c>
      <c r="F103" s="2">
        <f>Preamp!AE104</f>
        <v>5</v>
      </c>
      <c r="G103" s="2">
        <f>Preamp!AF104</f>
        <v>0.3981071705534972</v>
      </c>
      <c r="H103" s="2">
        <f>20*LOG10(FieldFox!D103)</f>
        <v>-9.5424250943932485</v>
      </c>
      <c r="I103" s="2">
        <f>FieldFox!AJ103</f>
        <v>24.489999999999988</v>
      </c>
      <c r="J103" s="2">
        <f>'Meas. Noise Std'!AA104</f>
        <v>5</v>
      </c>
      <c r="K103" s="2">
        <f>'User Cal. Noise Std'!AA104</f>
        <v>12</v>
      </c>
      <c r="L103" s="2">
        <f>'Meas. Noise Std'!AB104</f>
        <v>0.1</v>
      </c>
      <c r="M103" s="2">
        <f>'Meas. Noise Std'!AC104</f>
        <v>0.1</v>
      </c>
      <c r="N103" s="2">
        <f>'User Cal. Noise Std'!AC104</f>
        <v>0.22</v>
      </c>
      <c r="O103" s="2">
        <f>'Meas. Noise Std'!AD104</f>
        <v>1</v>
      </c>
      <c r="P103" s="2">
        <f>'User Cal. Noise Std'!AD104</f>
        <v>0.12</v>
      </c>
      <c r="Q103" s="2">
        <f>FieldFox!AI103</f>
        <v>0.30000000000000004</v>
      </c>
      <c r="T103" s="2">
        <f>DUT!AH104</f>
        <v>0</v>
      </c>
      <c r="U103" s="2">
        <f>Preamp!AH104</f>
        <v>0</v>
      </c>
      <c r="V103" s="2">
        <f>DUT!AG104</f>
        <v>0.31622776601683794</v>
      </c>
    </row>
    <row r="104" spans="1:22">
      <c r="A104" s="2">
        <f>MIN(StopFreqGHz+0.000001,Result!A103+FreqStep)</f>
        <v>26.500001000000001</v>
      </c>
      <c r="B104" s="2">
        <f t="shared" si="3"/>
        <v>22.990000260000002</v>
      </c>
      <c r="C104" s="2">
        <f>DUT!AD105</f>
        <v>20</v>
      </c>
      <c r="D104" s="2">
        <f>DUT!AF105</f>
        <v>0.2</v>
      </c>
      <c r="E104" s="2">
        <f>Preamp!AD105</f>
        <v>22.990000260000002</v>
      </c>
      <c r="F104" s="2">
        <f>Preamp!AE105</f>
        <v>5</v>
      </c>
      <c r="G104" s="2">
        <f>Preamp!AF105</f>
        <v>0.3981071705534972</v>
      </c>
      <c r="H104" s="2">
        <f>20*LOG10(FieldFox!D104)</f>
        <v>-9.5424250943932485</v>
      </c>
      <c r="I104" s="2">
        <f>FieldFox!AJ104</f>
        <v>24.489999999999988</v>
      </c>
      <c r="J104" s="2">
        <f>'Meas. Noise Std'!AA105</f>
        <v>5</v>
      </c>
      <c r="K104" s="2">
        <f>'User Cal. Noise Std'!AA105</f>
        <v>12</v>
      </c>
      <c r="L104" s="2">
        <f>'Meas. Noise Std'!AB105</f>
        <v>0.1</v>
      </c>
      <c r="M104" s="2">
        <f>'Meas. Noise Std'!AC105</f>
        <v>0.1</v>
      </c>
      <c r="N104" s="2">
        <f>'User Cal. Noise Std'!AC105</f>
        <v>0.22</v>
      </c>
      <c r="O104" s="2">
        <f>'Meas. Noise Std'!AD105</f>
        <v>1</v>
      </c>
      <c r="P104" s="2">
        <f>'User Cal. Noise Std'!AD105</f>
        <v>0.12</v>
      </c>
      <c r="Q104" s="2">
        <f>FieldFox!AI104</f>
        <v>0.30000000000000004</v>
      </c>
      <c r="T104" s="2">
        <f>DUT!AH105</f>
        <v>0</v>
      </c>
      <c r="U104" s="2">
        <f>Preamp!AH105</f>
        <v>0</v>
      </c>
      <c r="V104" s="2">
        <f>DUT!AG105</f>
        <v>0.31622776601683794</v>
      </c>
    </row>
    <row r="105" spans="1:22">
      <c r="A105" s="2">
        <f>MIN(StopFreqGHz+0.000001,Result!A104+FreqStep)</f>
        <v>26.500001000000001</v>
      </c>
      <c r="B105" s="2">
        <f t="shared" si="3"/>
        <v>22.990000260000002</v>
      </c>
      <c r="C105" s="2">
        <f>DUT!AD106</f>
        <v>20</v>
      </c>
      <c r="D105" s="2">
        <f>DUT!AF106</f>
        <v>0.2</v>
      </c>
      <c r="E105" s="2">
        <f>Preamp!AD106</f>
        <v>22.990000260000002</v>
      </c>
      <c r="F105" s="2">
        <f>Preamp!AE106</f>
        <v>5</v>
      </c>
      <c r="G105" s="2">
        <f>Preamp!AF106</f>
        <v>0.3981071705534972</v>
      </c>
      <c r="H105" s="2">
        <f>20*LOG10(FieldFox!D105)</f>
        <v>-9.5424250943932485</v>
      </c>
      <c r="I105" s="2">
        <f>FieldFox!AJ105</f>
        <v>24.489999999999988</v>
      </c>
      <c r="J105" s="2">
        <f>'Meas. Noise Std'!AA106</f>
        <v>5</v>
      </c>
      <c r="K105" s="2">
        <f>'User Cal. Noise Std'!AA106</f>
        <v>12</v>
      </c>
      <c r="L105" s="2">
        <f>'Meas. Noise Std'!AB106</f>
        <v>0.1</v>
      </c>
      <c r="M105" s="2">
        <f>'Meas. Noise Std'!AC106</f>
        <v>0.1</v>
      </c>
      <c r="N105" s="2">
        <f>'User Cal. Noise Std'!AC106</f>
        <v>0.22</v>
      </c>
      <c r="O105" s="2">
        <f>'Meas. Noise Std'!AD106</f>
        <v>1</v>
      </c>
      <c r="P105" s="2">
        <f>'User Cal. Noise Std'!AD106</f>
        <v>0.12</v>
      </c>
      <c r="Q105" s="2">
        <f>FieldFox!AI105</f>
        <v>0.30000000000000004</v>
      </c>
      <c r="T105" s="2">
        <f>DUT!AH106</f>
        <v>0</v>
      </c>
      <c r="U105" s="2">
        <f>Preamp!AH106</f>
        <v>0</v>
      </c>
      <c r="V105" s="2">
        <f>DUT!AG106</f>
        <v>0.31622776601683794</v>
      </c>
    </row>
    <row r="106" spans="1:22" s="79" customFormat="1">
      <c r="A106" s="79">
        <f>MIN(StopFreqGHz+0.000001,Result!A105+FreqStep)</f>
        <v>26.500001000000001</v>
      </c>
      <c r="B106" s="2">
        <f t="shared" si="3"/>
        <v>22.990000260000002</v>
      </c>
      <c r="C106" s="2">
        <f>DUT!AD107</f>
        <v>20</v>
      </c>
      <c r="D106" s="2">
        <f>DUT!AF107</f>
        <v>0.2</v>
      </c>
      <c r="E106" s="2">
        <f>Preamp!AD107</f>
        <v>22.990000260000002</v>
      </c>
      <c r="F106" s="2">
        <f>Preamp!AE107</f>
        <v>5</v>
      </c>
      <c r="G106" s="2">
        <f>Preamp!AF107</f>
        <v>0.3981071705534972</v>
      </c>
      <c r="H106" s="79">
        <f>20*LOG10(FieldFox!D106)</f>
        <v>-9.5424250943932485</v>
      </c>
      <c r="I106" s="79">
        <f>FieldFox!AJ106</f>
        <v>24.489999999999988</v>
      </c>
      <c r="J106" s="79">
        <f>'Meas. Noise Std'!AA107</f>
        <v>5</v>
      </c>
      <c r="K106" s="79">
        <f>'User Cal. Noise Std'!AA107</f>
        <v>12</v>
      </c>
      <c r="L106" s="79">
        <f>'Meas. Noise Std'!AB107</f>
        <v>0.1</v>
      </c>
      <c r="M106" s="79">
        <f>'Meas. Noise Std'!AC107</f>
        <v>0.1</v>
      </c>
      <c r="N106" s="79">
        <f>'User Cal. Noise Std'!AC107</f>
        <v>0.22</v>
      </c>
      <c r="O106" s="79">
        <f>'Meas. Noise Std'!AD107</f>
        <v>1</v>
      </c>
      <c r="P106" s="79">
        <f>'User Cal. Noise Std'!AD107</f>
        <v>0.12</v>
      </c>
      <c r="Q106" s="79">
        <f>FieldFox!AI106</f>
        <v>0.30000000000000004</v>
      </c>
      <c r="T106" s="2">
        <f>DUT!AH107</f>
        <v>0</v>
      </c>
      <c r="U106" s="2">
        <f>Preamp!AH107</f>
        <v>0</v>
      </c>
      <c r="V106" s="2">
        <f>DUT!AG107</f>
        <v>0.31622776601683794</v>
      </c>
    </row>
  </sheetData>
  <sheetProtection selectLockedCells="1" selectUnlockedCells="1"/>
  <conditionalFormatting sqref="O5:O106 V5:V106 W5:W55 C5:M106">
    <cfRule type="expression" dxfId="31" priority="8">
      <formula>"$A16&gt;DashBoard!$Q$4"</formula>
    </cfRule>
  </conditionalFormatting>
  <conditionalFormatting sqref="N5:N106">
    <cfRule type="expression" dxfId="30" priority="5">
      <formula>"$A16&gt;DashBoard!$Q$4"</formula>
    </cfRule>
  </conditionalFormatting>
  <conditionalFormatting sqref="P5">
    <cfRule type="expression" dxfId="29" priority="3">
      <formula>"$A16&gt;DashBoard!$Q$4"</formula>
    </cfRule>
  </conditionalFormatting>
  <conditionalFormatting sqref="P6:P106">
    <cfRule type="expression" dxfId="28" priority="1">
      <formula>"$A16&gt;DashBoard!$Q$4"</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51" operator="greaterThan" id="{66F0A756-C1AC-4783-9FD6-F1DB2B98F769}">
            <xm:f>DashBoard!$K$6</xm:f>
            <x14:dxf>
              <font>
                <color theme="0"/>
              </font>
            </x14:dxf>
          </x14:cfRule>
          <xm:sqref>A5:A106</xm:sqref>
        </x14:conditionalFormatting>
        <x14:conditionalFormatting xmlns:xm="http://schemas.microsoft.com/office/excel/2006/main">
          <x14:cfRule type="expression" priority="152" id="{61B86290-28BF-470E-BAD2-9B32869F0284}">
            <xm:f>$A5&gt;DashBoard!$K$6</xm:f>
            <x14:dxf>
              <font>
                <color theme="0"/>
              </font>
            </x14:dxf>
          </x14:cfRule>
          <xm:sqref>O5:O106 W5:W55 T5:V106 Q5:Q106 C5:M106</xm:sqref>
        </x14:conditionalFormatting>
        <x14:conditionalFormatting xmlns:xm="http://schemas.microsoft.com/office/excel/2006/main">
          <x14:cfRule type="expression" priority="6" id="{DA4D29C5-09A6-4C27-BE45-DED6A888BC1C}">
            <xm:f>$A5&gt;DashBoard!$K$6</xm:f>
            <x14:dxf>
              <font>
                <color theme="0"/>
              </font>
            </x14:dxf>
          </x14:cfRule>
          <xm:sqref>N5:N106</xm:sqref>
        </x14:conditionalFormatting>
        <x14:conditionalFormatting xmlns:xm="http://schemas.microsoft.com/office/excel/2006/main">
          <x14:cfRule type="expression" priority="4" id="{36D84DE0-BD4D-4368-AF56-C9E47EDBCB26}">
            <xm:f>$A5&gt;DashBoard!$K$6</xm:f>
            <x14:dxf>
              <font>
                <color theme="0"/>
              </font>
            </x14:dxf>
          </x14:cfRule>
          <xm:sqref>P5</xm:sqref>
        </x14:conditionalFormatting>
        <x14:conditionalFormatting xmlns:xm="http://schemas.microsoft.com/office/excel/2006/main">
          <x14:cfRule type="expression" priority="2" id="{8F4EA5F7-7DCB-4F2E-80AC-7E215F90C0E0}">
            <xm:f>$A6&gt;DashBoard!$K$6</xm:f>
            <x14:dxf>
              <font>
                <color theme="0"/>
              </font>
            </x14:dxf>
          </x14:cfRule>
          <xm:sqref>P6:P106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2:AB106"/>
  <sheetViews>
    <sheetView workbookViewId="0">
      <selection activeCell="D12" sqref="D12"/>
    </sheetView>
  </sheetViews>
  <sheetFormatPr defaultColWidth="8.81640625" defaultRowHeight="14.5"/>
  <cols>
    <col min="1" max="1" width="13.54296875" style="2" customWidth="1"/>
    <col min="2" max="2" width="8.81640625" style="2"/>
    <col min="3" max="3" width="12.7265625" style="2" customWidth="1"/>
    <col min="4" max="4" width="19.7265625" style="2" customWidth="1"/>
    <col min="5" max="6" width="8.81640625" style="2"/>
    <col min="7" max="7" width="11.26953125" style="2" customWidth="1"/>
    <col min="8" max="8" width="8.81640625" style="2"/>
    <col min="9" max="9" width="0" style="2" hidden="1" customWidth="1"/>
    <col min="10" max="10" width="8.81640625" style="2"/>
    <col min="11" max="12" width="0" style="2" hidden="1" customWidth="1"/>
    <col min="13" max="13" width="8.81640625" style="2"/>
    <col min="14" max="14" width="13.26953125" style="2" customWidth="1"/>
    <col min="15" max="15" width="12.26953125" style="2" customWidth="1"/>
    <col min="16" max="16" width="11" style="2" hidden="1" customWidth="1"/>
    <col min="17" max="17" width="11.26953125" style="2" customWidth="1"/>
    <col min="18" max="18" width="12.1796875" style="2" hidden="1" customWidth="1"/>
    <col min="19" max="19" width="11.453125" style="2" hidden="1" customWidth="1"/>
    <col min="20" max="20" width="8.81640625" style="2"/>
    <col min="21" max="21" width="13" style="2" customWidth="1"/>
    <col min="22" max="25" width="8.81640625" style="2"/>
    <col min="26" max="26" width="0" style="2" hidden="1" customWidth="1"/>
    <col min="27" max="16384" width="8.81640625" style="2"/>
  </cols>
  <sheetData>
    <row r="2" spans="1:28">
      <c r="G2" s="2" t="s">
        <v>221</v>
      </c>
      <c r="H2" s="2" t="s">
        <v>0</v>
      </c>
      <c r="O2" s="2" t="s">
        <v>300</v>
      </c>
      <c r="P2" s="2" t="s">
        <v>302</v>
      </c>
      <c r="Q2" s="2" t="s">
        <v>301</v>
      </c>
      <c r="R2" s="2" t="s">
        <v>298</v>
      </c>
      <c r="S2" s="2" t="s">
        <v>299</v>
      </c>
      <c r="W2" s="2" t="s">
        <v>303</v>
      </c>
      <c r="Z2" s="2" t="s">
        <v>304</v>
      </c>
    </row>
    <row r="3" spans="1:28">
      <c r="C3" s="2" t="s">
        <v>271</v>
      </c>
      <c r="D3" s="2" t="s">
        <v>270</v>
      </c>
      <c r="K3" s="2" t="str">
        <f>IF(UseUserCal,"User Cal","No User Cal")</f>
        <v>User Cal</v>
      </c>
      <c r="O3" s="2" t="s">
        <v>227</v>
      </c>
      <c r="P3" s="2" t="str">
        <f>S3</f>
        <v>Preamp Rev. Nse.</v>
      </c>
      <c r="Q3" s="2" t="s">
        <v>228</v>
      </c>
      <c r="R3" s="2" t="s">
        <v>345</v>
      </c>
      <c r="S3" s="2" t="s">
        <v>344</v>
      </c>
      <c r="W3" s="2" t="s">
        <v>234</v>
      </c>
      <c r="Z3" s="2" t="s">
        <v>223</v>
      </c>
      <c r="AA3" s="2" t="s">
        <v>147</v>
      </c>
    </row>
    <row r="4" spans="1:28">
      <c r="A4" s="2" t="s">
        <v>5</v>
      </c>
      <c r="B4" s="2" t="s">
        <v>1</v>
      </c>
      <c r="C4" s="2" t="s">
        <v>214</v>
      </c>
      <c r="D4" s="2" t="s">
        <v>272</v>
      </c>
      <c r="E4" s="2" t="s">
        <v>145</v>
      </c>
      <c r="F4" s="2" t="s">
        <v>146</v>
      </c>
      <c r="G4" s="3" t="str">
        <f>CHOOSE(SrcDispSelect,"Total (RSS)",N4,U4)</f>
        <v>Total (RSS)</v>
      </c>
      <c r="H4" s="2" t="str">
        <f>CHOOSE(SrcDispSelect,"Jitter",O4,AA4)</f>
        <v>Jitter</v>
      </c>
      <c r="I4" s="2" t="str">
        <f>CHOOSE(SrcDispSelect,"Mismatch",R4,Y4)</f>
        <v>Mismatch</v>
      </c>
      <c r="J4" s="2" t="str">
        <f>CHOOSE(SrcDispSelect,"ENR",Q4,Z4)</f>
        <v>ENR</v>
      </c>
      <c r="K4" s="2" t="str">
        <f>CHOOSE(SrcDispSelect,K3,P4,AB4)</f>
        <v>User Cal</v>
      </c>
      <c r="L4" s="2" t="str">
        <f>CHOOSE(SrcDispSelect,"Tdrift",S4,Z4)</f>
        <v>Tdrift</v>
      </c>
      <c r="N4" s="2" t="s">
        <v>222</v>
      </c>
      <c r="O4" s="2" t="s">
        <v>227</v>
      </c>
      <c r="P4" s="2" t="str">
        <f t="shared" ref="P4:P67" si="0">S4</f>
        <v/>
      </c>
      <c r="Q4" s="2" t="s">
        <v>228</v>
      </c>
      <c r="R4" s="2" t="str">
        <f>IF(UseReverse,"DUT Reverse Nse.","")</f>
        <v/>
      </c>
      <c r="S4" s="2" t="str">
        <f>IF(UseReverse,"Preamp Rev. Nse.","")</f>
        <v/>
      </c>
      <c r="U4" s="2" t="s">
        <v>231</v>
      </c>
      <c r="V4" s="2" t="s">
        <v>232</v>
      </c>
      <c r="W4" s="2" t="s">
        <v>234</v>
      </c>
      <c r="X4" s="2" t="s">
        <v>233</v>
      </c>
      <c r="Y4" s="2" t="s">
        <v>220</v>
      </c>
      <c r="Z4" s="2" t="s">
        <v>346</v>
      </c>
      <c r="AA4" s="2" t="s">
        <v>147</v>
      </c>
      <c r="AB4" s="2" t="s">
        <v>0</v>
      </c>
    </row>
    <row r="5" spans="1:28">
      <c r="A5" s="2">
        <f>StartFreqGHz</f>
        <v>0.1</v>
      </c>
      <c r="B5" s="2">
        <f>DUT!AD6</f>
        <v>20</v>
      </c>
      <c r="C5" s="2">
        <f>DUT!AE6</f>
        <v>4</v>
      </c>
      <c r="D5" s="3">
        <f>10*LOG10((T_0+NseMeas!O5)/T_0)</f>
        <v>4.0000000000000018</v>
      </c>
      <c r="E5" s="3">
        <f>10*LOG10((T_0+NseMeas!BG5)/T_0)</f>
        <v>4.2293127487611395</v>
      </c>
      <c r="F5" s="3">
        <f>10*LOG10((T_0+NseMeas!BH5)/T_0)</f>
        <v>3.7579009945858068</v>
      </c>
      <c r="G5" s="3">
        <f>CHOOSE(SrcDispSelect,NseMeas!BF5+(IF(UseUserCal,0,K5)),N5,U5)</f>
        <v>0.22931274876113791</v>
      </c>
      <c r="H5" s="3">
        <f>CHOOSE(SrcDispSelect,NseMeas!BJ5,O5,AA5)</f>
        <v>3.0269994943452519E-2</v>
      </c>
      <c r="I5" s="3">
        <f>CHOOSE(SrcDispSelect,NseMeas!BL5,R5,Y5)</f>
        <v>0.18646112185709196</v>
      </c>
      <c r="J5" s="3">
        <f>CHOOSE(SrcDispSelect,NseMeas!BN5,Q5,Z5)</f>
        <v>0.13294593064713064</v>
      </c>
      <c r="K5" s="3">
        <f>CHOOSE(SrcDispSelect,IF(UseUserCal,NseMeas!BP5,ABS(D5-C5)),P5,AB5)</f>
        <v>1.2775116423540173E-3</v>
      </c>
      <c r="L5" s="3">
        <f>CHOOSE(SrcDispSelect,NseMeas!BR5,S5,Z5)</f>
        <v>0</v>
      </c>
      <c r="N5" s="3">
        <f>NseMeas!CC5</f>
        <v>0.18646474797953055</v>
      </c>
      <c r="O5" s="3">
        <f>NseMeas!BW5</f>
        <v>0.18646112185709196</v>
      </c>
      <c r="P5" s="2">
        <f t="shared" si="0"/>
        <v>0</v>
      </c>
      <c r="Q5" s="3">
        <f>NseMeas!CA5</f>
        <v>1.2008087516612526E-3</v>
      </c>
      <c r="R5" s="3">
        <f>NseMeas!BU5</f>
        <v>0</v>
      </c>
      <c r="S5" s="3">
        <f>NseMeas!BY5</f>
        <v>0</v>
      </c>
      <c r="U5" s="3">
        <f>Calibration!AW5</f>
        <v>1.2775116423540173E-3</v>
      </c>
      <c r="V5" s="3">
        <f>Calibration!AY5</f>
        <v>2.8461354524913096E-5</v>
      </c>
      <c r="W5" s="3">
        <f>Calibration!BG5</f>
        <v>4.3717615957370109E-6</v>
      </c>
      <c r="X5" s="3">
        <f>Calibration!BC5</f>
        <v>9.0007446592986032E-6</v>
      </c>
      <c r="Y5" s="3">
        <f>Calibration!BE5</f>
        <v>1.2008087516612526E-3</v>
      </c>
      <c r="Z5" s="3">
        <f>Calibration!BA5</f>
        <v>0</v>
      </c>
      <c r="AA5" s="3">
        <f>Calibration!BI5</f>
        <v>3.0169083153317011E-5</v>
      </c>
    </row>
    <row r="6" spans="1:28">
      <c r="A6" s="2">
        <f>MIN(StopFreqGHz+0.000001,Result!A5+FreqStep)</f>
        <v>0.628</v>
      </c>
      <c r="B6" s="2">
        <f>DUT!AD7</f>
        <v>20</v>
      </c>
      <c r="C6" s="2">
        <f>DUT!AE7</f>
        <v>4</v>
      </c>
      <c r="D6" s="3">
        <f>10*LOG10((T_0+NseMeas!O6)/T_0)</f>
        <v>4.0000000000000027</v>
      </c>
      <c r="E6" s="3">
        <f>10*LOG10((T_0+NseMeas!BG6)/T_0)</f>
        <v>4.2293133399121361</v>
      </c>
      <c r="F6" s="3">
        <f>10*LOG10((T_0+NseMeas!BH6)/T_0)</f>
        <v>3.7579003356552283</v>
      </c>
      <c r="G6" s="3">
        <f>CHOOSE(SrcDispSelect,NseMeas!BF6+(IF(UseUserCal,0,K6)),N6,U6)</f>
        <v>0.22931333991213357</v>
      </c>
      <c r="H6" s="3">
        <f>CHOOSE(SrcDispSelect,NseMeas!BJ6,O6,AA6)</f>
        <v>3.0269315742191952E-2</v>
      </c>
      <c r="I6" s="3">
        <f>CHOOSE(SrcDispSelect,NseMeas!BL6,R6,Y6)</f>
        <v>0.18646168263799462</v>
      </c>
      <c r="J6" s="3">
        <f>CHOOSE(SrcDispSelect,NseMeas!BN6,Q6,Z6)</f>
        <v>0.13294633293722535</v>
      </c>
      <c r="K6" s="3">
        <f>CHOOSE(SrcDispSelect,IF(UseUserCal,NseMeas!BP6,ABS(D6-C6)),P6,AB6)</f>
        <v>1.2775098582183202E-3</v>
      </c>
      <c r="L6" s="3">
        <f>CHOOSE(SrcDispSelect,NseMeas!BR6,S6,Z6)</f>
        <v>0</v>
      </c>
      <c r="N6" s="3">
        <f>NseMeas!CC6</f>
        <v>0.18646530874882394</v>
      </c>
      <c r="O6" s="3">
        <f>NseMeas!BW6</f>
        <v>0.18646168263799462</v>
      </c>
      <c r="P6" s="2">
        <f t="shared" si="0"/>
        <v>0</v>
      </c>
      <c r="Q6" s="3">
        <f>NseMeas!CA6</f>
        <v>1.2008087516612526E-3</v>
      </c>
      <c r="R6" s="3">
        <f>NseMeas!BU6</f>
        <v>0</v>
      </c>
      <c r="S6" s="3">
        <f>NseMeas!BY6</f>
        <v>0</v>
      </c>
      <c r="U6" s="3">
        <f>Calibration!AW6</f>
        <v>1.2775098582183202E-3</v>
      </c>
      <c r="V6" s="3">
        <f>Calibration!AY6</f>
        <v>2.8403240773289234E-5</v>
      </c>
      <c r="W6" s="3">
        <f>Calibration!BG6</f>
        <v>4.2896517136262109E-6</v>
      </c>
      <c r="X6" s="3">
        <f>Calibration!BC6</f>
        <v>8.9704361238142176E-6</v>
      </c>
      <c r="Y6" s="3">
        <f>Calibration!BE6</f>
        <v>1.2008087516612526E-3</v>
      </c>
      <c r="Z6" s="3">
        <f>Calibration!BA6</f>
        <v>0</v>
      </c>
      <c r="AA6" s="3">
        <f>Calibration!BI6</f>
        <v>3.0093406384172622E-5</v>
      </c>
    </row>
    <row r="7" spans="1:28">
      <c r="A7" s="2">
        <f>MIN(StopFreqGHz+0.000001,Result!A6+FreqStep)</f>
        <v>1.1560000000000001</v>
      </c>
      <c r="B7" s="2">
        <f>DUT!AD8</f>
        <v>20</v>
      </c>
      <c r="C7" s="2">
        <f>DUT!AE8</f>
        <v>4</v>
      </c>
      <c r="D7" s="3">
        <f>10*LOG10((T_0+NseMeas!O7)/T_0)</f>
        <v>4.0000000000000027</v>
      </c>
      <c r="E7" s="3">
        <f>10*LOG10((T_0+NseMeas!BG7)/T_0)</f>
        <v>4.2293139126721782</v>
      </c>
      <c r="F7" s="3">
        <f>10*LOG10((T_0+NseMeas!BH7)/T_0)</f>
        <v>3.7578996972240737</v>
      </c>
      <c r="G7" s="3">
        <f>CHOOSE(SrcDispSelect,NseMeas!BF7+(IF(UseUserCal,0,K7)),N7,U7)</f>
        <v>0.22931391267217405</v>
      </c>
      <c r="H7" s="3">
        <f>CHOOSE(SrcDispSelect,NseMeas!BJ7,O7,AA7)</f>
        <v>3.0268657680870739E-2</v>
      </c>
      <c r="I7" s="3">
        <f>CHOOSE(SrcDispSelect,NseMeas!BL7,R7,Y7)</f>
        <v>0.18646222596984061</v>
      </c>
      <c r="J7" s="3">
        <f>CHOOSE(SrcDispSelect,NseMeas!BN7,Q7,Z7)</f>
        <v>0.13294672270982089</v>
      </c>
      <c r="K7" s="3">
        <f>CHOOSE(SrcDispSelect,IF(UseUserCal,NseMeas!BP7,ABS(D7-C7)),P7,AB7)</f>
        <v>1.2775081350718922E-3</v>
      </c>
      <c r="L7" s="3">
        <f>CHOOSE(SrcDispSelect,NseMeas!BR7,S7,Z7)</f>
        <v>0</v>
      </c>
      <c r="N7" s="3">
        <f>NseMeas!CC7</f>
        <v>0.18646585206942168</v>
      </c>
      <c r="O7" s="3">
        <f>NseMeas!BW7</f>
        <v>0.18646222596984061</v>
      </c>
      <c r="P7" s="2">
        <f t="shared" si="0"/>
        <v>0</v>
      </c>
      <c r="Q7" s="3">
        <f>NseMeas!CA7</f>
        <v>1.2008087516612526E-3</v>
      </c>
      <c r="R7" s="3">
        <f>NseMeas!BU7</f>
        <v>0</v>
      </c>
      <c r="S7" s="3">
        <f>NseMeas!BY7</f>
        <v>0</v>
      </c>
      <c r="U7" s="3">
        <f>Calibration!AW7</f>
        <v>1.2775081350718922E-3</v>
      </c>
      <c r="V7" s="3">
        <f>Calibration!AY7</f>
        <v>2.8346935260019769E-5</v>
      </c>
      <c r="W7" s="3">
        <f>Calibration!BG7</f>
        <v>4.2094168491141058E-6</v>
      </c>
      <c r="X7" s="3">
        <f>Calibration!BC7</f>
        <v>8.940996300728191E-6</v>
      </c>
      <c r="Y7" s="3">
        <f>Calibration!BE7</f>
        <v>1.2008087516612526E-3</v>
      </c>
      <c r="Z7" s="3">
        <f>Calibration!BA7</f>
        <v>0</v>
      </c>
      <c r="AA7" s="3">
        <f>Calibration!BI7</f>
        <v>3.0020135589286523E-5</v>
      </c>
    </row>
    <row r="8" spans="1:28">
      <c r="A8" s="2">
        <f>MIN(StopFreqGHz+0.000001,Result!A7+FreqStep)</f>
        <v>1.6840000000000002</v>
      </c>
      <c r="B8" s="2">
        <f>DUT!AD9</f>
        <v>20</v>
      </c>
      <c r="C8" s="2">
        <f>DUT!AE9</f>
        <v>4</v>
      </c>
      <c r="D8" s="3">
        <f>10*LOG10((T_0+NseMeas!O8)/T_0)</f>
        <v>4.0000000000000027</v>
      </c>
      <c r="E8" s="3">
        <f>10*LOG10((T_0+NseMeas!BG8)/T_0)</f>
        <v>4.2293144676133227</v>
      </c>
      <c r="F8" s="3">
        <f>10*LOG10((T_0+NseMeas!BH8)/T_0)</f>
        <v>3.7578990786547068</v>
      </c>
      <c r="G8" s="3">
        <f>CHOOSE(SrcDispSelect,NseMeas!BF8+(IF(UseUserCal,0,K8)),N8,U8)</f>
        <v>0.22931446761332075</v>
      </c>
      <c r="H8" s="3">
        <f>CHOOSE(SrcDispSelect,NseMeas!BJ8,O8,AA8)</f>
        <v>3.0268020101327061E-2</v>
      </c>
      <c r="I8" s="3">
        <f>CHOOSE(SrcDispSelect,NseMeas!BL8,R8,Y8)</f>
        <v>0.18646275239556889</v>
      </c>
      <c r="J8" s="3">
        <f>CHOOSE(SrcDispSelect,NseMeas!BN8,Q8,Z8)</f>
        <v>0.13294710035440549</v>
      </c>
      <c r="K8" s="3">
        <f>CHOOSE(SrcDispSelect,IF(UseUserCal,NseMeas!BP8,ABS(D8-C8)),P8,AB8)</f>
        <v>1.277506470682008E-3</v>
      </c>
      <c r="L8" s="3">
        <f>CHOOSE(SrcDispSelect,NseMeas!BR8,S8,Z8)</f>
        <v>0</v>
      </c>
      <c r="N8" s="3">
        <f>NseMeas!CC8</f>
        <v>0.1864663784842521</v>
      </c>
      <c r="O8" s="3">
        <f>NseMeas!BW8</f>
        <v>0.18646275239556889</v>
      </c>
      <c r="P8" s="2">
        <f t="shared" si="0"/>
        <v>0</v>
      </c>
      <c r="Q8" s="3">
        <f>NseMeas!CA8</f>
        <v>1.2008087516612526E-3</v>
      </c>
      <c r="R8" s="3">
        <f>NseMeas!BU8</f>
        <v>0</v>
      </c>
      <c r="S8" s="3">
        <f>NseMeas!BY8</f>
        <v>0</v>
      </c>
      <c r="U8" s="3">
        <f>Calibration!AW8</f>
        <v>1.277506470682008E-3</v>
      </c>
      <c r="V8" s="3">
        <f>Calibration!AY8</f>
        <v>2.8292381721855523E-5</v>
      </c>
      <c r="W8" s="3">
        <f>Calibration!BG8</f>
        <v>4.131003113808391E-6</v>
      </c>
      <c r="X8" s="3">
        <f>Calibration!BC8</f>
        <v>8.9124020231026746E-6</v>
      </c>
      <c r="Y8" s="3">
        <f>Calibration!BE8</f>
        <v>1.2008087516612526E-3</v>
      </c>
      <c r="Z8" s="3">
        <f>Calibration!BA8</f>
        <v>0</v>
      </c>
      <c r="AA8" s="3">
        <f>Calibration!BI8</f>
        <v>2.9949193118775387E-5</v>
      </c>
    </row>
    <row r="9" spans="1:28">
      <c r="A9" s="2">
        <f>MIN(StopFreqGHz+0.000001,Result!A8+FreqStep)</f>
        <v>2.2120000000000002</v>
      </c>
      <c r="B9" s="2">
        <f>DUT!AD10</f>
        <v>20</v>
      </c>
      <c r="C9" s="2">
        <f>DUT!AE10</f>
        <v>4</v>
      </c>
      <c r="D9" s="3">
        <f>10*LOG10((T_0+NseMeas!O9)/T_0)</f>
        <v>4.0000000000000018</v>
      </c>
      <c r="E9" s="3">
        <f>10*LOG10((T_0+NseMeas!BG9)/T_0)</f>
        <v>4.2293178229729289</v>
      </c>
      <c r="F9" s="3">
        <f>10*LOG10((T_0+NseMeas!BH9)/T_0)</f>
        <v>3.757895338574071</v>
      </c>
      <c r="G9" s="3">
        <f>CHOOSE(SrcDispSelect,NseMeas!BF9+(IF(UseUserCal,0,K9)),N9,U9)</f>
        <v>0.22931782297292769</v>
      </c>
      <c r="H9" s="3">
        <f>CHOOSE(SrcDispSelect,NseMeas!BJ9,O9,AA9)</f>
        <v>3.0290260953998616E-2</v>
      </c>
      <c r="I9" s="3">
        <f>CHOOSE(SrcDispSelect,NseMeas!BL9,R9,Y9)</f>
        <v>0.18646326244122724</v>
      </c>
      <c r="J9" s="3">
        <f>CHOOSE(SrcDispSelect,NseMeas!BN9,Q9,Z9)</f>
        <v>0.13294746624835191</v>
      </c>
      <c r="K9" s="3">
        <f>CHOOSE(SrcDispSelect,IF(UseUserCal,NseMeas!BP9,ABS(D9-C9)),P9,AB9)</f>
        <v>1.2775602812712878E-3</v>
      </c>
      <c r="L9" s="3">
        <f>CHOOSE(SrcDispSelect,NseMeas!BR9,S9,Z9)</f>
        <v>0</v>
      </c>
      <c r="N9" s="3">
        <f>NseMeas!CC9</f>
        <v>0.18646688851935142</v>
      </c>
      <c r="O9" s="3">
        <f>NseMeas!BW9</f>
        <v>0.18646326244122724</v>
      </c>
      <c r="P9" s="2">
        <f t="shared" si="0"/>
        <v>0</v>
      </c>
      <c r="Q9" s="3">
        <f>NseMeas!CA9</f>
        <v>1.2008087516612526E-3</v>
      </c>
      <c r="R9" s="3">
        <f>NseMeas!BU9</f>
        <v>0</v>
      </c>
      <c r="S9" s="3">
        <f>NseMeas!BY9</f>
        <v>0</v>
      </c>
      <c r="U9" s="3">
        <f>Calibration!AW9</f>
        <v>1.2775602812712878E-3</v>
      </c>
      <c r="V9" s="3">
        <f>Calibration!AY9</f>
        <v>3.0019793325797655E-5</v>
      </c>
      <c r="W9" s="3">
        <f>Calibration!BG9</f>
        <v>6.2245207856760693E-6</v>
      </c>
      <c r="X9" s="3">
        <f>Calibration!BC9</f>
        <v>9.7247896937406975E-6</v>
      </c>
      <c r="Y9" s="3">
        <f>Calibration!BE9</f>
        <v>1.2008087516612526E-3</v>
      </c>
      <c r="Z9" s="3">
        <f>Calibration!BA9</f>
        <v>0</v>
      </c>
      <c r="AA9" s="3">
        <f>Calibration!BI9</f>
        <v>3.2163691019013742E-5</v>
      </c>
    </row>
    <row r="10" spans="1:28">
      <c r="A10" s="2">
        <f>MIN(StopFreqGHz+0.000001,Result!A9+FreqStep)</f>
        <v>2.74</v>
      </c>
      <c r="B10" s="2">
        <f>DUT!AD11</f>
        <v>20</v>
      </c>
      <c r="C10" s="2">
        <f>DUT!AE11</f>
        <v>4</v>
      </c>
      <c r="D10" s="3">
        <f>10*LOG10((T_0+NseMeas!O10)/T_0)</f>
        <v>4.0000000000000009</v>
      </c>
      <c r="E10" s="3">
        <f>10*LOG10((T_0+NseMeas!BG10)/T_0)</f>
        <v>4.2293162361633163</v>
      </c>
      <c r="F10" s="3">
        <f>10*LOG10((T_0+NseMeas!BH10)/T_0)</f>
        <v>3.7578971073259044</v>
      </c>
      <c r="G10" s="3">
        <f>CHOOSE(SrcDispSelect,NseMeas!BF10+(IF(UseUserCal,0,K10)),N10,U10)</f>
        <v>0.22931623616331542</v>
      </c>
      <c r="H10" s="3">
        <f>CHOOSE(SrcDispSelect,NseMeas!BJ10,O10,AA10)</f>
        <v>3.0272564918418194E-2</v>
      </c>
      <c r="I10" s="3">
        <f>CHOOSE(SrcDispSelect,NseMeas!BL10,R10,Y10)</f>
        <v>0.18646375661649317</v>
      </c>
      <c r="J10" s="3">
        <f>CHOOSE(SrcDispSelect,NseMeas!BN10,Q10,Z10)</f>
        <v>0.13294782075728959</v>
      </c>
      <c r="K10" s="3">
        <f>CHOOSE(SrcDispSelect,IF(UseUserCal,NseMeas!BP10,ABS(D10-C10)),P10,AB10)</f>
        <v>1.2775167738803426E-3</v>
      </c>
      <c r="L10" s="3">
        <f>CHOOSE(SrcDispSelect,NseMeas!BR10,S10,Z10)</f>
        <v>0</v>
      </c>
      <c r="N10" s="3">
        <f>NseMeas!CC10</f>
        <v>0.18646738268438753</v>
      </c>
      <c r="O10" s="3">
        <f>NseMeas!BW10</f>
        <v>0.18646375661649317</v>
      </c>
      <c r="P10" s="2">
        <f t="shared" si="0"/>
        <v>0</v>
      </c>
      <c r="Q10" s="3">
        <f>NseMeas!CA10</f>
        <v>1.2008087516612526E-3</v>
      </c>
      <c r="R10" s="3">
        <f>NseMeas!BU10</f>
        <v>0</v>
      </c>
      <c r="S10" s="3">
        <f>NseMeas!BY10</f>
        <v>0</v>
      </c>
      <c r="U10" s="3">
        <f>Calibration!AW10</f>
        <v>1.2775167738803426E-3</v>
      </c>
      <c r="V10" s="3">
        <f>Calibration!AY10</f>
        <v>2.8637053912431259E-5</v>
      </c>
      <c r="W10" s="3">
        <f>Calibration!BG10</f>
        <v>4.5662244102153859E-6</v>
      </c>
      <c r="X10" s="3">
        <f>Calibration!BC10</f>
        <v>9.0752420961618911E-6</v>
      </c>
      <c r="Y10" s="3">
        <f>Calibration!BE10</f>
        <v>1.2008087516612526E-3</v>
      </c>
      <c r="Z10" s="3">
        <f>Calibration!BA10</f>
        <v>0</v>
      </c>
      <c r="AA10" s="3">
        <f>Calibration!BI10</f>
        <v>3.0385694380204596E-5</v>
      </c>
    </row>
    <row r="11" spans="1:28">
      <c r="A11" s="2">
        <f>MIN(StopFreqGHz+0.000001,Result!A10+FreqStep)</f>
        <v>3.2680000000000002</v>
      </c>
      <c r="B11" s="2">
        <f>DUT!AD12</f>
        <v>20</v>
      </c>
      <c r="C11" s="2">
        <f>DUT!AE12</f>
        <v>4</v>
      </c>
      <c r="D11" s="3">
        <f>10*LOG10((T_0+NseMeas!O11)/T_0)</f>
        <v>4.0000000000000018</v>
      </c>
      <c r="E11" s="3">
        <f>10*LOG10((T_0+NseMeas!BG11)/T_0)</f>
        <v>4.2293167187916412</v>
      </c>
      <c r="F11" s="3">
        <f>10*LOG10((T_0+NseMeas!BH11)/T_0)</f>
        <v>3.757896569359978</v>
      </c>
      <c r="G11" s="3">
        <f>CHOOSE(SrcDispSelect,NseMeas!BF11+(IF(UseUserCal,0,K11)),N11,U11)</f>
        <v>0.22931671879163967</v>
      </c>
      <c r="H11" s="3">
        <f>CHOOSE(SrcDispSelect,NseMeas!BJ11,O11,AA11)</f>
        <v>3.0271805725833281E-2</v>
      </c>
      <c r="I11" s="3">
        <f>CHOOSE(SrcDispSelect,NseMeas!BL11,R11,Y11)</f>
        <v>0.18646423541518589</v>
      </c>
      <c r="J11" s="3">
        <f>CHOOSE(SrcDispSelect,NseMeas!BN11,Q11,Z11)</f>
        <v>0.13294816423546946</v>
      </c>
      <c r="K11" s="3">
        <f>CHOOSE(SrcDispSelect,IF(UseUserCal,NseMeas!BP11,ABS(D11-C11)),P11,AB11)</f>
        <v>1.2775148144004976E-3</v>
      </c>
      <c r="L11" s="3">
        <f>CHOOSE(SrcDispSelect,NseMeas!BR11,S11,Z11)</f>
        <v>0</v>
      </c>
      <c r="N11" s="3">
        <f>NseMeas!CC11</f>
        <v>0.18646786147316813</v>
      </c>
      <c r="O11" s="3">
        <f>NseMeas!BW11</f>
        <v>0.18646423541518589</v>
      </c>
      <c r="P11" s="2">
        <f t="shared" si="0"/>
        <v>0</v>
      </c>
      <c r="Q11" s="3">
        <f>NseMeas!CA11</f>
        <v>1.2008087516612526E-3</v>
      </c>
      <c r="R11" s="3">
        <f>NseMeas!BU11</f>
        <v>0</v>
      </c>
      <c r="S11" s="3">
        <f>NseMeas!BY11</f>
        <v>0</v>
      </c>
      <c r="U11" s="3">
        <f>Calibration!AW11</f>
        <v>1.2775148144004976E-3</v>
      </c>
      <c r="V11" s="3">
        <f>Calibration!AY11</f>
        <v>2.857347318564107E-5</v>
      </c>
      <c r="W11" s="3">
        <f>Calibration!BG11</f>
        <v>4.4796194107242438E-6</v>
      </c>
      <c r="X11" s="3">
        <f>Calibration!BC11</f>
        <v>9.0427992505187167E-6</v>
      </c>
      <c r="Y11" s="3">
        <f>Calibration!BE11</f>
        <v>1.2008087516612526E-3</v>
      </c>
      <c r="Z11" s="3">
        <f>Calibration!BA11</f>
        <v>0</v>
      </c>
      <c r="AA11" s="3">
        <f>Calibration!BI11</f>
        <v>3.0303163753411365E-5</v>
      </c>
    </row>
    <row r="12" spans="1:28">
      <c r="A12" s="2">
        <f>MIN(StopFreqGHz+0.000001,Result!A11+FreqStep)</f>
        <v>3.7960000000000003</v>
      </c>
      <c r="B12" s="2">
        <f>DUT!AD13</f>
        <v>20</v>
      </c>
      <c r="C12" s="2">
        <f>DUT!AE13</f>
        <v>4</v>
      </c>
      <c r="D12" s="3">
        <f>10*LOG10((T_0+NseMeas!O12)/T_0)</f>
        <v>4.0000000000000018</v>
      </c>
      <c r="E12" s="3">
        <f>10*LOG10((T_0+NseMeas!BG12)/T_0)</f>
        <v>4.2293171864063845</v>
      </c>
      <c r="F12" s="3">
        <f>10*LOG10((T_0+NseMeas!BH12)/T_0)</f>
        <v>3.7578960481289512</v>
      </c>
      <c r="G12" s="3">
        <f>CHOOSE(SrcDispSelect,NseMeas!BF12+(IF(UseUserCal,0,K12)),N12,U12)</f>
        <v>0.22931718640638182</v>
      </c>
      <c r="H12" s="3">
        <f>CHOOSE(SrcDispSelect,NseMeas!BJ12,O12,AA12)</f>
        <v>3.0271070163702965E-2</v>
      </c>
      <c r="I12" s="3">
        <f>CHOOSE(SrcDispSelect,NseMeas!BL12,R12,Y12)</f>
        <v>0.18646469931575868</v>
      </c>
      <c r="J12" s="3">
        <f>CHOOSE(SrcDispSelect,NseMeas!BN12,Q12,Z12)</f>
        <v>0.1329484970261231</v>
      </c>
      <c r="K12" s="3">
        <f>CHOOSE(SrcDispSelect,IF(UseUserCal,NseMeas!BP12,ABS(D12-C12)),P12,AB12)</f>
        <v>1.2775129223275609E-3</v>
      </c>
      <c r="L12" s="3">
        <f>CHOOSE(SrcDispSelect,NseMeas!BR12,S12,Z12)</f>
        <v>0</v>
      </c>
      <c r="N12" s="3">
        <f>NseMeas!CC12</f>
        <v>0.18646832536413865</v>
      </c>
      <c r="O12" s="3">
        <f>NseMeas!BW12</f>
        <v>0.18646469931575868</v>
      </c>
      <c r="P12" s="2">
        <f t="shared" si="0"/>
        <v>0</v>
      </c>
      <c r="Q12" s="3">
        <f>NseMeas!CA12</f>
        <v>1.2008087516612526E-3</v>
      </c>
      <c r="R12" s="3">
        <f>NseMeas!BU12</f>
        <v>0</v>
      </c>
      <c r="S12" s="3">
        <f>NseMeas!BY12</f>
        <v>0</v>
      </c>
      <c r="U12" s="3">
        <f>Calibration!AW12</f>
        <v>1.2775129223275609E-3</v>
      </c>
      <c r="V12" s="3">
        <f>Calibration!AY12</f>
        <v>2.8511870805160465E-5</v>
      </c>
      <c r="W12" s="3">
        <f>Calibration!BG12</f>
        <v>4.3950198884507134E-6</v>
      </c>
      <c r="X12" s="3">
        <f>Calibration!BC12</f>
        <v>9.0112820780056192E-6</v>
      </c>
      <c r="Y12" s="3">
        <f>Calibration!BE12</f>
        <v>1.2008087516612526E-3</v>
      </c>
      <c r="Z12" s="3">
        <f>Calibration!BA12</f>
        <v>0</v>
      </c>
      <c r="AA12" s="3">
        <f>Calibration!BI12</f>
        <v>3.0223258418876763E-5</v>
      </c>
    </row>
    <row r="13" spans="1:28">
      <c r="A13" s="2">
        <f>MIN(StopFreqGHz+0.000001,Result!A12+FreqStep)</f>
        <v>4.3239999999999998</v>
      </c>
      <c r="B13" s="2">
        <f>DUT!AD14</f>
        <v>20</v>
      </c>
      <c r="C13" s="2">
        <f>DUT!AE14</f>
        <v>4</v>
      </c>
      <c r="D13" s="3">
        <f>10*LOG10((T_0+NseMeas!O13)/T_0)</f>
        <v>4</v>
      </c>
      <c r="E13" s="3">
        <f>10*LOG10((T_0+NseMeas!BG13)/T_0)</f>
        <v>4.2293206993493335</v>
      </c>
      <c r="F13" s="3">
        <f>10*LOG10((T_0+NseMeas!BH13)/T_0)</f>
        <v>3.7578921323913401</v>
      </c>
      <c r="G13" s="3">
        <f>CHOOSE(SrcDispSelect,NseMeas!BF13+(IF(UseUserCal,0,K13)),N13,U13)</f>
        <v>0.22932069934933311</v>
      </c>
      <c r="H13" s="3">
        <f>CHOOSE(SrcDispSelect,NseMeas!BJ13,O13,AA13)</f>
        <v>3.0200528243545108E-2</v>
      </c>
      <c r="I13" s="3">
        <f>CHOOSE(SrcDispSelect,NseMeas!BL13,R13,Y13)</f>
        <v>0.18646514878177822</v>
      </c>
      <c r="J13" s="3">
        <f>CHOOSE(SrcDispSelect,NseMeas!BN13,Q13,Z13)</f>
        <v>0.13294881946179757</v>
      </c>
      <c r="K13" s="3">
        <f>CHOOSE(SrcDispSelect,IF(UseUserCal,NseMeas!BP13,ABS(D13-C13)),P13,AB13)</f>
        <v>2.7228778547414598E-3</v>
      </c>
      <c r="L13" s="3">
        <f>CHOOSE(SrcDispSelect,NseMeas!BR13,S13,Z13)</f>
        <v>0</v>
      </c>
      <c r="N13" s="3">
        <f>NseMeas!CC13</f>
        <v>0.18648332127211764</v>
      </c>
      <c r="O13" s="3">
        <f>NseMeas!BW13</f>
        <v>0.18646514878177822</v>
      </c>
      <c r="P13" s="2">
        <f t="shared" si="0"/>
        <v>0</v>
      </c>
      <c r="Q13" s="3">
        <f>NseMeas!CA13</f>
        <v>2.6878157133072068E-3</v>
      </c>
      <c r="R13" s="3">
        <f>NseMeas!BU13</f>
        <v>0</v>
      </c>
      <c r="S13" s="3">
        <f>NseMeas!BY13</f>
        <v>0</v>
      </c>
      <c r="U13" s="3">
        <f>Calibration!AW13</f>
        <v>2.7228778547414598E-3</v>
      </c>
      <c r="V13" s="3">
        <f>Calibration!AY13</f>
        <v>2.3010910781865228E-5</v>
      </c>
      <c r="W13" s="3">
        <f>Calibration!BG13</f>
        <v>4.2404252131903926E-6</v>
      </c>
      <c r="X13" s="3">
        <f>Calibration!BC13</f>
        <v>8.6491952170975698E-6</v>
      </c>
      <c r="Y13" s="3">
        <f>Calibration!BE13</f>
        <v>2.6878157133072068E-3</v>
      </c>
      <c r="Z13" s="3">
        <f>Calibration!BA13</f>
        <v>0</v>
      </c>
      <c r="AA13" s="3">
        <f>Calibration!BI13</f>
        <v>2.4945765102426129E-5</v>
      </c>
    </row>
    <row r="14" spans="1:28">
      <c r="A14" s="2">
        <f>MIN(StopFreqGHz+0.000001,Result!A13+FreqStep)</f>
        <v>4.8520000000000003</v>
      </c>
      <c r="B14" s="2">
        <f>DUT!AD15</f>
        <v>20</v>
      </c>
      <c r="C14" s="2">
        <f>DUT!AE15</f>
        <v>4</v>
      </c>
      <c r="D14" s="3">
        <f>10*LOG10((T_0+NseMeas!O14)/T_0)</f>
        <v>4.0000000000000009</v>
      </c>
      <c r="E14" s="3">
        <f>10*LOG10((T_0+NseMeas!BG14)/T_0)</f>
        <v>4.2293229134724717</v>
      </c>
      <c r="F14" s="3">
        <f>10*LOG10((T_0+NseMeas!BH14)/T_0)</f>
        <v>3.7578896643930144</v>
      </c>
      <c r="G14" s="3">
        <f>CHOOSE(SrcDispSelect,NseMeas!BF14+(IF(UseUserCal,0,K14)),N14,U14)</f>
        <v>0.22932291347247025</v>
      </c>
      <c r="H14" s="3">
        <f>CHOOSE(SrcDispSelect,NseMeas!BJ14,O14,AA14)</f>
        <v>3.0214272349060985E-2</v>
      </c>
      <c r="I14" s="3">
        <f>CHOOSE(SrcDispSelect,NseMeas!BL14,R14,Y14)</f>
        <v>0.18646558426238491</v>
      </c>
      <c r="J14" s="3">
        <f>CHOOSE(SrcDispSelect,NseMeas!BN14,Q14,Z14)</f>
        <v>0.1329491318646967</v>
      </c>
      <c r="K14" s="3">
        <f>CHOOSE(SrcDispSelect,IF(UseUserCal,NseMeas!BP14,ABS(D14-C14)),P14,AB14)</f>
        <v>2.7228910343134131E-3</v>
      </c>
      <c r="L14" s="3">
        <f>CHOOSE(SrcDispSelect,NseMeas!BR14,S14,Z14)</f>
        <v>0</v>
      </c>
      <c r="N14" s="3">
        <f>NseMeas!CC14</f>
        <v>0.18648375670754747</v>
      </c>
      <c r="O14" s="3">
        <f>NseMeas!BW14</f>
        <v>0.18646558426238491</v>
      </c>
      <c r="P14" s="2">
        <f t="shared" si="0"/>
        <v>0</v>
      </c>
      <c r="Q14" s="3">
        <f>NseMeas!CA14</f>
        <v>2.6878157133072068E-3</v>
      </c>
      <c r="R14" s="3">
        <f>NseMeas!BU14</f>
        <v>0</v>
      </c>
      <c r="S14" s="3">
        <f>NseMeas!BY14</f>
        <v>0</v>
      </c>
      <c r="U14" s="3">
        <f>Calibration!AW14</f>
        <v>2.7228910343134131E-3</v>
      </c>
      <c r="V14" s="3">
        <f>Calibration!AY14</f>
        <v>2.4077648076060969E-5</v>
      </c>
      <c r="W14" s="3">
        <f>Calibration!BG14</f>
        <v>5.5356730783777667E-6</v>
      </c>
      <c r="X14" s="3">
        <f>Calibration!BC14</f>
        <v>9.1517739122216181E-6</v>
      </c>
      <c r="Y14" s="3">
        <f>Calibration!BE14</f>
        <v>2.6878157133072068E-3</v>
      </c>
      <c r="Z14" s="3">
        <f>Calibration!BA14</f>
        <v>0</v>
      </c>
      <c r="AA14" s="3">
        <f>Calibration!BI14</f>
        <v>2.6346365931286268E-5</v>
      </c>
    </row>
    <row r="15" spans="1:28">
      <c r="A15" s="2">
        <f>MIN(StopFreqGHz+0.000001,Result!A14+FreqStep)</f>
        <v>5.3800000000000008</v>
      </c>
      <c r="B15" s="2">
        <f>DUT!AD16</f>
        <v>20</v>
      </c>
      <c r="C15" s="2">
        <f>DUT!AE16</f>
        <v>4</v>
      </c>
      <c r="D15" s="3">
        <f>10*LOG10((T_0+NseMeas!O15)/T_0)</f>
        <v>4.0000000000000027</v>
      </c>
      <c r="E15" s="3">
        <f>10*LOG10((T_0+NseMeas!BG15)/T_0)</f>
        <v>4.2293232836903396</v>
      </c>
      <c r="F15" s="3">
        <f>10*LOG10((T_0+NseMeas!BH15)/T_0)</f>
        <v>3.7578892517250688</v>
      </c>
      <c r="G15" s="3">
        <f>CHOOSE(SrcDispSelect,NseMeas!BF15+(IF(UseUserCal,0,K15)),N15,U15)</f>
        <v>0.22932328369033692</v>
      </c>
      <c r="H15" s="3">
        <f>CHOOSE(SrcDispSelect,NseMeas!BJ15,O15,AA15)</f>
        <v>3.0213154186688088E-2</v>
      </c>
      <c r="I15" s="3">
        <f>CHOOSE(SrcDispSelect,NseMeas!BL15,R15,Y15)</f>
        <v>0.18646600619274536</v>
      </c>
      <c r="J15" s="3">
        <f>CHOOSE(SrcDispSelect,NseMeas!BN15,Q15,Z15)</f>
        <v>0.13294943454699648</v>
      </c>
      <c r="K15" s="3">
        <f>CHOOSE(SrcDispSelect,IF(UseUserCal,NseMeas!BP15,ABS(D15-C15)),P15,AB15)</f>
        <v>2.7228898618739676E-3</v>
      </c>
      <c r="L15" s="3">
        <f>CHOOSE(SrcDispSelect,NseMeas!BR15,S15,Z15)</f>
        <v>0</v>
      </c>
      <c r="N15" s="3">
        <f>NseMeas!CC15</f>
        <v>0.18648417859413741</v>
      </c>
      <c r="O15" s="3">
        <f>NseMeas!BW15</f>
        <v>0.18646600619274536</v>
      </c>
      <c r="P15" s="2">
        <f t="shared" si="0"/>
        <v>0</v>
      </c>
      <c r="Q15" s="3">
        <f>NseMeas!CA15</f>
        <v>2.6878157133072068E-3</v>
      </c>
      <c r="R15" s="3">
        <f>NseMeas!BU15</f>
        <v>0</v>
      </c>
      <c r="S15" s="3">
        <f>NseMeas!BY15</f>
        <v>0</v>
      </c>
      <c r="U15" s="3">
        <f>Calibration!AW15</f>
        <v>2.7228898618739676E-3</v>
      </c>
      <c r="V15" s="3">
        <f>Calibration!AY15</f>
        <v>2.3986627494172085E-5</v>
      </c>
      <c r="W15" s="3">
        <f>Calibration!BG15</f>
        <v>5.4247040973003154E-6</v>
      </c>
      <c r="X15" s="3">
        <f>Calibration!BC15</f>
        <v>9.1079773452882294E-6</v>
      </c>
      <c r="Y15" s="3">
        <f>Calibration!BE15</f>
        <v>2.6878157133072068E-3</v>
      </c>
      <c r="Z15" s="3">
        <f>Calibration!BA15</f>
        <v>0</v>
      </c>
      <c r="AA15" s="3">
        <f>Calibration!BI15</f>
        <v>2.6224801238022624E-5</v>
      </c>
    </row>
    <row r="16" spans="1:28">
      <c r="A16" s="2">
        <f>MIN(StopFreqGHz+0.000001,Result!A15+FreqStep)</f>
        <v>5.9080000000000013</v>
      </c>
      <c r="B16" s="2">
        <f>DUT!AD17</f>
        <v>20</v>
      </c>
      <c r="C16" s="2">
        <f>DUT!AE17</f>
        <v>4</v>
      </c>
      <c r="D16" s="3">
        <f>10*LOG10((T_0+NseMeas!O16)/T_0)</f>
        <v>4.0000000000000027</v>
      </c>
      <c r="E16" s="3">
        <f>10*LOG10((T_0+NseMeas!BG16)/T_0)</f>
        <v>4.2293236423962393</v>
      </c>
      <c r="F16" s="3">
        <f>10*LOG10((T_0+NseMeas!BH16)/T_0)</f>
        <v>3.7578888518890059</v>
      </c>
      <c r="G16" s="3">
        <f>CHOOSE(SrcDispSelect,NseMeas!BF16+(IF(UseUserCal,0,K16)),N16,U16)</f>
        <v>0.22932364239623709</v>
      </c>
      <c r="H16" s="3">
        <f>CHOOSE(SrcDispSelect,NseMeas!BJ16,O16,AA16)</f>
        <v>3.0212070833432261E-2</v>
      </c>
      <c r="I16" s="3">
        <f>CHOOSE(SrcDispSelect,NseMeas!BL16,R16,Y16)</f>
        <v>0.18646641499448396</v>
      </c>
      <c r="J16" s="3">
        <f>CHOOSE(SrcDispSelect,NseMeas!BN16,Q16,Z16)</f>
        <v>0.13294972781115821</v>
      </c>
      <c r="K16" s="3">
        <f>CHOOSE(SrcDispSelect,IF(UseUserCal,NseMeas!BP16,ABS(D16-C16)),P16,AB16)</f>
        <v>2.7228887319510914E-3</v>
      </c>
      <c r="L16" s="3">
        <f>CHOOSE(SrcDispSelect,NseMeas!BR16,S16,Z16)</f>
        <v>0</v>
      </c>
      <c r="N16" s="3">
        <f>NseMeas!CC16</f>
        <v>0.18648458735346762</v>
      </c>
      <c r="O16" s="3">
        <f>NseMeas!BW16</f>
        <v>0.18646641499448396</v>
      </c>
      <c r="P16" s="2">
        <f t="shared" si="0"/>
        <v>0</v>
      </c>
      <c r="Q16" s="3">
        <f>NseMeas!CA16</f>
        <v>2.6878157133072068E-3</v>
      </c>
      <c r="R16" s="3">
        <f>NseMeas!BU16</f>
        <v>0</v>
      </c>
      <c r="S16" s="3">
        <f>NseMeas!BY16</f>
        <v>0</v>
      </c>
      <c r="U16" s="3">
        <f>Calibration!AW16</f>
        <v>2.7228887319510914E-3</v>
      </c>
      <c r="V16" s="3">
        <f>Calibration!AY16</f>
        <v>2.3898439061879614E-5</v>
      </c>
      <c r="W16" s="3">
        <f>Calibration!BG16</f>
        <v>5.3164927519452069E-6</v>
      </c>
      <c r="X16" s="3">
        <f>Calibration!BC16</f>
        <v>9.0653966322323497E-6</v>
      </c>
      <c r="Y16" s="3">
        <f>Calibration!BE16</f>
        <v>2.6878157133072068E-3</v>
      </c>
      <c r="Z16" s="3">
        <f>Calibration!BA16</f>
        <v>0</v>
      </c>
      <c r="AA16" s="3">
        <f>Calibration!BI16</f>
        <v>2.6107109235968099E-5</v>
      </c>
    </row>
    <row r="17" spans="1:27">
      <c r="A17" s="2">
        <f>MIN(StopFreqGHz+0.000001,Result!A16+FreqStep)</f>
        <v>6.4360000000000017</v>
      </c>
      <c r="B17" s="2">
        <f>DUT!AD18</f>
        <v>20</v>
      </c>
      <c r="C17" s="2">
        <f>DUT!AE18</f>
        <v>4</v>
      </c>
      <c r="D17" s="3">
        <f>10*LOG10((T_0+NseMeas!O17)/T_0)</f>
        <v>4.0000000000000027</v>
      </c>
      <c r="E17" s="3">
        <f>10*LOG10((T_0+NseMeas!BG17)/T_0)</f>
        <v>4.2293171765371902</v>
      </c>
      <c r="F17" s="3">
        <f>10*LOG10((T_0+NseMeas!BH17)/T_0)</f>
        <v>3.7578960591297417</v>
      </c>
      <c r="G17" s="3">
        <f>CHOOSE(SrcDispSelect,NseMeas!BF17+(IF(UseUserCal,0,K17)),N17,U17)</f>
        <v>0.2293171765371875</v>
      </c>
      <c r="H17" s="3">
        <f>CHOOSE(SrcDispSelect,NseMeas!BJ17,O17,AA17)</f>
        <v>3.0155566752521186E-2</v>
      </c>
      <c r="I17" s="3">
        <f>CHOOSE(SrcDispSelect,NseMeas!BL17,R17,Y17)</f>
        <v>0.1864668110761078</v>
      </c>
      <c r="J17" s="3">
        <f>CHOOSE(SrcDispSelect,NseMeas!BN17,Q17,Z17)</f>
        <v>0.13295001195023623</v>
      </c>
      <c r="K17" s="3">
        <f>CHOOSE(SrcDispSelect,IF(UseUserCal,NseMeas!BP17,ABS(D17-C17)),P17,AB17)</f>
        <v>2.7228523170980995E-3</v>
      </c>
      <c r="L17" s="3">
        <f>CHOOSE(SrcDispSelect,NseMeas!BR17,S17,Z17)</f>
        <v>0</v>
      </c>
      <c r="N17" s="3">
        <f>NseMeas!CC17</f>
        <v>0.18648498339400371</v>
      </c>
      <c r="O17" s="3">
        <f>NseMeas!BW17</f>
        <v>0.1864668110761078</v>
      </c>
      <c r="P17" s="2">
        <f t="shared" si="0"/>
        <v>0</v>
      </c>
      <c r="Q17" s="3">
        <f>NseMeas!CA17</f>
        <v>2.6878157133072068E-3</v>
      </c>
      <c r="R17" s="3">
        <f>NseMeas!BU17</f>
        <v>0</v>
      </c>
      <c r="S17" s="3">
        <f>NseMeas!BY17</f>
        <v>0</v>
      </c>
      <c r="U17" s="3">
        <f>Calibration!AW17</f>
        <v>2.7228523170980995E-3</v>
      </c>
      <c r="V17" s="3">
        <f>Calibration!AY17</f>
        <v>1.949083268267107E-5</v>
      </c>
      <c r="W17" s="3">
        <f>Calibration!BG17</f>
        <v>5.1450715833466694E-6</v>
      </c>
      <c r="X17" s="3">
        <f>Calibration!BC17</f>
        <v>8.7593717757909121E-6</v>
      </c>
      <c r="Y17" s="3">
        <f>Calibration!BE17</f>
        <v>2.6878157133072068E-3</v>
      </c>
      <c r="Z17" s="3">
        <f>Calibration!BA17</f>
        <v>0</v>
      </c>
      <c r="AA17" s="3">
        <f>Calibration!BI17</f>
        <v>2.197931664807544E-5</v>
      </c>
    </row>
    <row r="18" spans="1:27">
      <c r="A18" s="2">
        <f>MIN(StopFreqGHz+0.000001,Result!A17+FreqStep)</f>
        <v>6.9640000000000022</v>
      </c>
      <c r="B18" s="2">
        <f>DUT!AD19</f>
        <v>20</v>
      </c>
      <c r="C18" s="2">
        <f>DUT!AE19</f>
        <v>4</v>
      </c>
      <c r="D18" s="3">
        <f>10*LOG10((T_0+NseMeas!O18)/T_0)</f>
        <v>3.9999999999999991</v>
      </c>
      <c r="E18" s="3">
        <f>10*LOG10((T_0+NseMeas!BG18)/T_0)</f>
        <v>4.2293175135510275</v>
      </c>
      <c r="F18" s="3">
        <f>10*LOG10((T_0+NseMeas!BH18)/T_0)</f>
        <v>3.7578956834741235</v>
      </c>
      <c r="G18" s="3">
        <f>CHOOSE(SrcDispSelect,NseMeas!BF18+(IF(UseUserCal,0,K18)),N18,U18)</f>
        <v>0.2293175135510277</v>
      </c>
      <c r="H18" s="3">
        <f>CHOOSE(SrcDispSelect,NseMeas!BJ18,O18,AA18)</f>
        <v>3.0154550006491178E-2</v>
      </c>
      <c r="I18" s="3">
        <f>CHOOSE(SrcDispSelect,NseMeas!BL18,R18,Y18)</f>
        <v>0.18646719483341301</v>
      </c>
      <c r="J18" s="3">
        <f>CHOOSE(SrcDispSelect,NseMeas!BN18,Q18,Z18)</f>
        <v>0.13295028724816141</v>
      </c>
      <c r="K18" s="3">
        <f>CHOOSE(SrcDispSelect,IF(UseUserCal,NseMeas!BP18,ABS(D18-C18)),P18,AB18)</f>
        <v>2.7228514067508397E-3</v>
      </c>
      <c r="L18" s="3">
        <f>CHOOSE(SrcDispSelect,NseMeas!BR18,S18,Z18)</f>
        <v>0</v>
      </c>
      <c r="N18" s="3">
        <f>NseMeas!CC18</f>
        <v>0.18648536711149868</v>
      </c>
      <c r="O18" s="3">
        <f>NseMeas!BW18</f>
        <v>0.18646719483341301</v>
      </c>
      <c r="P18" s="2">
        <f t="shared" si="0"/>
        <v>0</v>
      </c>
      <c r="Q18" s="3">
        <f>NseMeas!CA18</f>
        <v>2.6878157133072068E-3</v>
      </c>
      <c r="R18" s="3">
        <f>NseMeas!BU18</f>
        <v>0</v>
      </c>
      <c r="S18" s="3">
        <f>NseMeas!BY18</f>
        <v>0</v>
      </c>
      <c r="U18" s="3">
        <f>Calibration!AW18</f>
        <v>2.7228514067508397E-3</v>
      </c>
      <c r="V18" s="3">
        <f>Calibration!AY18</f>
        <v>1.9408046841294083E-5</v>
      </c>
      <c r="W18" s="3">
        <f>Calibration!BG18</f>
        <v>5.0428867248870952E-6</v>
      </c>
      <c r="X18" s="3">
        <f>Calibration!BC18</f>
        <v>8.7192777848497921E-6</v>
      </c>
      <c r="Y18" s="3">
        <f>Calibration!BE18</f>
        <v>2.6878157133072068E-3</v>
      </c>
      <c r="Z18" s="3">
        <f>Calibration!BA18</f>
        <v>0</v>
      </c>
      <c r="AA18" s="3">
        <f>Calibration!BI18</f>
        <v>2.1866143965824034E-5</v>
      </c>
    </row>
    <row r="19" spans="1:27">
      <c r="A19" s="2">
        <f>MIN(StopFreqGHz+0.000001,Result!A18+FreqStep)</f>
        <v>7.4920000000000027</v>
      </c>
      <c r="B19" s="2">
        <f>DUT!AD20</f>
        <v>20</v>
      </c>
      <c r="C19" s="2">
        <f>DUT!AE20</f>
        <v>4</v>
      </c>
      <c r="D19" s="3">
        <f>10*LOG10((T_0+NseMeas!O19)/T_0)</f>
        <v>3.9999999999999991</v>
      </c>
      <c r="E19" s="3">
        <f>10*LOG10((T_0+NseMeas!BG19)/T_0)</f>
        <v>4.2293178400847591</v>
      </c>
      <c r="F19" s="3">
        <f>10*LOG10((T_0+NseMeas!BH19)/T_0)</f>
        <v>3.7578953195002009</v>
      </c>
      <c r="G19" s="3">
        <f>CHOOSE(SrcDispSelect,NseMeas!BF19+(IF(UseUserCal,0,K19)),N19,U19)</f>
        <v>0.22931784008475956</v>
      </c>
      <c r="H19" s="3">
        <f>CHOOSE(SrcDispSelect,NseMeas!BJ19,O19,AA19)</f>
        <v>3.0153564911088351E-2</v>
      </c>
      <c r="I19" s="3">
        <f>CHOOSE(SrcDispSelect,NseMeas!BL19,R19,Y19)</f>
        <v>0.18646756664987768</v>
      </c>
      <c r="J19" s="3">
        <f>CHOOSE(SrcDispSelect,NseMeas!BN19,Q19,Z19)</f>
        <v>0.13295055398003186</v>
      </c>
      <c r="K19" s="3">
        <f>CHOOSE(SrcDispSelect,IF(UseUserCal,NseMeas!BP19,ABS(D19-C19)),P19,AB19)</f>
        <v>2.7228505297223777E-3</v>
      </c>
      <c r="L19" s="3">
        <f>CHOOSE(SrcDispSelect,NseMeas!BR19,S19,Z19)</f>
        <v>0</v>
      </c>
      <c r="N19" s="3">
        <f>NseMeas!CC19</f>
        <v>0.1864857388893929</v>
      </c>
      <c r="O19" s="3">
        <f>NseMeas!BW19</f>
        <v>0.18646756664987768</v>
      </c>
      <c r="P19" s="2">
        <f t="shared" si="0"/>
        <v>0</v>
      </c>
      <c r="Q19" s="3">
        <f>NseMeas!CA19</f>
        <v>2.6878157133072068E-3</v>
      </c>
      <c r="R19" s="3">
        <f>NseMeas!BU19</f>
        <v>0</v>
      </c>
      <c r="S19" s="3">
        <f>NseMeas!BY19</f>
        <v>0</v>
      </c>
      <c r="U19" s="3">
        <f>Calibration!AW19</f>
        <v>2.7228505297223777E-3</v>
      </c>
      <c r="V19" s="3">
        <f>Calibration!AY19</f>
        <v>1.932783692251271E-5</v>
      </c>
      <c r="W19" s="3">
        <f>Calibration!BG19</f>
        <v>4.9432136574533653E-6</v>
      </c>
      <c r="X19" s="3">
        <f>Calibration!BC19</f>
        <v>8.6803021450102222E-6</v>
      </c>
      <c r="Y19" s="3">
        <f>Calibration!BE19</f>
        <v>2.6878157133072068E-3</v>
      </c>
      <c r="Z19" s="3">
        <f>Calibration!BA19</f>
        <v>0</v>
      </c>
      <c r="AA19" s="3">
        <f>Calibration!BI19</f>
        <v>2.1756556628326961E-5</v>
      </c>
    </row>
    <row r="20" spans="1:27">
      <c r="A20" s="2">
        <f>MIN(StopFreqGHz+0.000001,Result!A19+FreqStep)</f>
        <v>8.0200000000000031</v>
      </c>
      <c r="B20" s="2">
        <f>DUT!AD21</f>
        <v>20</v>
      </c>
      <c r="C20" s="2">
        <f>DUT!AE21</f>
        <v>4</v>
      </c>
      <c r="D20" s="3">
        <f>10*LOG10((T_0+NseMeas!O20)/T_0)</f>
        <v>4.0000000000000027</v>
      </c>
      <c r="E20" s="3">
        <f>10*LOG10((T_0+NseMeas!BG20)/T_0)</f>
        <v>4.2293173399702608</v>
      </c>
      <c r="F20" s="3">
        <f>10*LOG10((T_0+NseMeas!BH20)/T_0)</f>
        <v>3.7578958769575572</v>
      </c>
      <c r="G20" s="3">
        <f>CHOOSE(SrcDispSelect,NseMeas!BF20+(IF(UseUserCal,0,K20)),N20,U20)</f>
        <v>0.2293173399702568</v>
      </c>
      <c r="H20" s="3">
        <f>CHOOSE(SrcDispSelect,NseMeas!BJ20,O20,AA20)</f>
        <v>3.0145957647859323E-2</v>
      </c>
      <c r="I20" s="3">
        <f>CHOOSE(SrcDispSelect,NseMeas!BL20,R20,Y20)</f>
        <v>0.18646792689705061</v>
      </c>
      <c r="J20" s="3">
        <f>CHOOSE(SrcDispSelect,NseMeas!BN20,Q20,Z20)</f>
        <v>0.13295081241238624</v>
      </c>
      <c r="K20" s="3">
        <f>CHOOSE(SrcDispSelect,IF(UseUserCal,NseMeas!BP20,ABS(D20-C20)),P20,AB20)</f>
        <v>2.7228442363920143E-3</v>
      </c>
      <c r="L20" s="3">
        <f>CHOOSE(SrcDispSelect,NseMeas!BR20,S20,Z20)</f>
        <v>0</v>
      </c>
      <c r="N20" s="3">
        <f>NseMeas!CC20</f>
        <v>0.18648609909919484</v>
      </c>
      <c r="O20" s="3">
        <f>NseMeas!BW20</f>
        <v>0.18646792689705061</v>
      </c>
      <c r="P20" s="2">
        <f t="shared" si="0"/>
        <v>0</v>
      </c>
      <c r="Q20" s="3">
        <f>NseMeas!CA20</f>
        <v>2.6878157133072068E-3</v>
      </c>
      <c r="R20" s="3">
        <f>NseMeas!BU20</f>
        <v>0</v>
      </c>
      <c r="S20" s="3">
        <f>NseMeas!BY20</f>
        <v>0</v>
      </c>
      <c r="U20" s="3">
        <f>Calibration!AW20</f>
        <v>2.7228442363920143E-3</v>
      </c>
      <c r="V20" s="3">
        <f>Calibration!AY20</f>
        <v>1.8731662558023169E-5</v>
      </c>
      <c r="W20" s="3">
        <f>Calibration!BG20</f>
        <v>4.204916385403838E-6</v>
      </c>
      <c r="X20" s="3">
        <f>Calibration!BC20</f>
        <v>8.3957224241081381E-6</v>
      </c>
      <c r="Y20" s="3">
        <f>Calibration!BE20</f>
        <v>2.6878157133072068E-3</v>
      </c>
      <c r="Z20" s="3">
        <f>Calibration!BA20</f>
        <v>0</v>
      </c>
      <c r="AA20" s="3">
        <f>Calibration!BI20</f>
        <v>2.0953381767985091E-5</v>
      </c>
    </row>
    <row r="21" spans="1:27">
      <c r="A21" s="2">
        <f>MIN(StopFreqGHz+0.000001,Result!A20+FreqStep)</f>
        <v>8.5480000000000036</v>
      </c>
      <c r="B21" s="2">
        <f>DUT!AD22</f>
        <v>20</v>
      </c>
      <c r="C21" s="2">
        <f>DUT!AE22</f>
        <v>4</v>
      </c>
      <c r="D21" s="3">
        <f>10*LOG10((T_0+NseMeas!O21)/T_0)</f>
        <v>4.0000000000000018</v>
      </c>
      <c r="E21" s="3">
        <f>10*LOG10((T_0+NseMeas!BG21)/T_0)</f>
        <v>4.2293176719489072</v>
      </c>
      <c r="F21" s="3">
        <f>10*LOG10((T_0+NseMeas!BH21)/T_0)</f>
        <v>3.7578955069144353</v>
      </c>
      <c r="G21" s="3">
        <f>CHOOSE(SrcDispSelect,NseMeas!BF21+(IF(UseUserCal,0,K21)),N21,U21)</f>
        <v>0.22931767194890543</v>
      </c>
      <c r="H21" s="3">
        <f>CHOOSE(SrcDispSelect,NseMeas!BJ21,O21,AA21)</f>
        <v>3.0145240009089507E-2</v>
      </c>
      <c r="I21" s="3">
        <f>CHOOSE(SrcDispSelect,NseMeas!BL21,R21,Y21)</f>
        <v>0.18646827593491708</v>
      </c>
      <c r="J21" s="3">
        <f>CHOOSE(SrcDispSelect,NseMeas!BN21,Q21,Z21)</f>
        <v>0.13295106280347013</v>
      </c>
      <c r="K21" s="3">
        <f>CHOOSE(SrcDispSelect,IF(UseUserCal,NseMeas!BP21,ABS(D21-C21)),P21,AB21)</f>
        <v>2.7228436168944465E-3</v>
      </c>
      <c r="L21" s="3">
        <f>CHOOSE(SrcDispSelect,NseMeas!BR21,S21,Z21)</f>
        <v>0</v>
      </c>
      <c r="N21" s="3">
        <f>NseMeas!CC21</f>
        <v>0.18648644810085321</v>
      </c>
      <c r="O21" s="3">
        <f>NseMeas!BW21</f>
        <v>0.18646827593491708</v>
      </c>
      <c r="P21" s="2">
        <f t="shared" si="0"/>
        <v>0</v>
      </c>
      <c r="Q21" s="3">
        <f>NseMeas!CA21</f>
        <v>2.6878157133072068E-3</v>
      </c>
      <c r="R21" s="3">
        <f>NseMeas!BU21</f>
        <v>0</v>
      </c>
      <c r="S21" s="3">
        <f>NseMeas!BY21</f>
        <v>0</v>
      </c>
      <c r="U21" s="3">
        <f>Calibration!AW21</f>
        <v>2.7228436168944465E-3</v>
      </c>
      <c r="V21" s="3">
        <f>Calibration!AY21</f>
        <v>1.8672498676614308E-5</v>
      </c>
      <c r="W21" s="3">
        <f>Calibration!BG21</f>
        <v>4.1252544257299953E-6</v>
      </c>
      <c r="X21" s="3">
        <f>Calibration!BC21</f>
        <v>8.3658821686317624E-6</v>
      </c>
      <c r="Y21" s="3">
        <f>Calibration!BE21</f>
        <v>2.6878157133072068E-3</v>
      </c>
      <c r="Z21" s="3">
        <f>Calibration!BA21</f>
        <v>0</v>
      </c>
      <c r="AA21" s="3">
        <f>Calibration!BI21</f>
        <v>2.0872648885935584E-5</v>
      </c>
    </row>
    <row r="22" spans="1:27">
      <c r="A22" s="2">
        <f>MIN(StopFreqGHz+0.000001,Result!A21+FreqStep)</f>
        <v>9.0760000000000041</v>
      </c>
      <c r="B22" s="2">
        <f>DUT!AD23</f>
        <v>20</v>
      </c>
      <c r="C22" s="2">
        <f>DUT!AE23</f>
        <v>4</v>
      </c>
      <c r="D22" s="3">
        <f>10*LOG10((T_0+NseMeas!O22)/T_0)</f>
        <v>4.0000000000000018</v>
      </c>
      <c r="E22" s="3">
        <f>10*LOG10((T_0+NseMeas!BG22)/T_0)</f>
        <v>4.2293179936010485</v>
      </c>
      <c r="F22" s="3">
        <f>10*LOG10((T_0+NseMeas!BH22)/T_0)</f>
        <v>3.7578951483817962</v>
      </c>
      <c r="G22" s="3">
        <f>CHOOSE(SrcDispSelect,NseMeas!BF22+(IF(UseUserCal,0,K22)),N22,U22)</f>
        <v>0.22931799360104643</v>
      </c>
      <c r="H22" s="3">
        <f>CHOOSE(SrcDispSelect,NseMeas!BJ22,O22,AA22)</f>
        <v>3.0144544707036515E-2</v>
      </c>
      <c r="I22" s="3">
        <f>CHOOSE(SrcDispSelect,NseMeas!BL22,R22,Y22)</f>
        <v>0.18646861411226306</v>
      </c>
      <c r="J22" s="3">
        <f>CHOOSE(SrcDispSelect,NseMeas!BN22,Q22,Z22)</f>
        <v>0.13295130540349148</v>
      </c>
      <c r="K22" s="3">
        <f>CHOOSE(SrcDispSelect,IF(UseUserCal,NseMeas!BP22,ABS(D22-C22)),P22,AB22)</f>
        <v>2.7228430192512256E-3</v>
      </c>
      <c r="L22" s="3">
        <f>CHOOSE(SrcDispSelect,NseMeas!BR22,S22,Z22)</f>
        <v>0</v>
      </c>
      <c r="N22" s="3">
        <f>NseMeas!CC22</f>
        <v>0.18648678624311829</v>
      </c>
      <c r="O22" s="3">
        <f>NseMeas!BW22</f>
        <v>0.18646861411226306</v>
      </c>
      <c r="P22" s="2">
        <f t="shared" si="0"/>
        <v>0</v>
      </c>
      <c r="Q22" s="3">
        <f>NseMeas!CA22</f>
        <v>2.6878157133072068E-3</v>
      </c>
      <c r="R22" s="3">
        <f>NseMeas!BU22</f>
        <v>0</v>
      </c>
      <c r="S22" s="3">
        <f>NseMeas!BY22</f>
        <v>0</v>
      </c>
      <c r="U22" s="3">
        <f>Calibration!AW22</f>
        <v>2.7228430192512256E-3</v>
      </c>
      <c r="V22" s="3">
        <f>Calibration!AY22</f>
        <v>1.8615175708857969E-5</v>
      </c>
      <c r="W22" s="3">
        <f>Calibration!BG22</f>
        <v>4.0474342280499339E-6</v>
      </c>
      <c r="X22" s="3">
        <f>Calibration!BC22</f>
        <v>8.3368940296372271E-6</v>
      </c>
      <c r="Y22" s="3">
        <f>Calibration!BE22</f>
        <v>2.6878157133072068E-3</v>
      </c>
      <c r="Z22" s="3">
        <f>Calibration!BA22</f>
        <v>0</v>
      </c>
      <c r="AA22" s="3">
        <f>Calibration!BI22</f>
        <v>2.0794466959370508E-5</v>
      </c>
    </row>
    <row r="23" spans="1:27">
      <c r="A23" s="2">
        <f>MIN(StopFreqGHz+0.000001,Result!A22+FreqStep)</f>
        <v>9.6040000000000045</v>
      </c>
      <c r="B23" s="2">
        <f>DUT!AD24</f>
        <v>20</v>
      </c>
      <c r="C23" s="2">
        <f>DUT!AE24</f>
        <v>4</v>
      </c>
      <c r="D23" s="3">
        <f>10*LOG10((T_0+NseMeas!O23)/T_0)</f>
        <v>3.9999999999999991</v>
      </c>
      <c r="E23" s="3">
        <f>10*LOG10((T_0+NseMeas!BG23)/T_0)</f>
        <v>4.2293183052477996</v>
      </c>
      <c r="F23" s="3">
        <f>10*LOG10((T_0+NseMeas!BH23)/T_0)</f>
        <v>3.7578948010017021</v>
      </c>
      <c r="G23" s="3">
        <f>CHOOSE(SrcDispSelect,NseMeas!BF23+(IF(UseUserCal,0,K23)),N23,U23)</f>
        <v>0.22931830524780064</v>
      </c>
      <c r="H23" s="3">
        <f>CHOOSE(SrcDispSelect,NseMeas!BJ23,O23,AA23)</f>
        <v>3.0143871046253601E-2</v>
      </c>
      <c r="I23" s="3">
        <f>CHOOSE(SrcDispSelect,NseMeas!BL23,R23,Y23)</f>
        <v>0.18646894176702067</v>
      </c>
      <c r="J23" s="3">
        <f>CHOOSE(SrcDispSelect,NseMeas!BN23,Q23,Z23)</f>
        <v>0.13295154045487398</v>
      </c>
      <c r="K23" s="3">
        <f>CHOOSE(SrcDispSelect,IF(UseUserCal,NseMeas!BP23,ABS(D23-C23)),P23,AB23)</f>
        <v>2.7228424426248773E-3</v>
      </c>
      <c r="L23" s="3">
        <f>CHOOSE(SrcDispSelect,NseMeas!BR23,S23,Z23)</f>
        <v>0</v>
      </c>
      <c r="N23" s="3">
        <f>NseMeas!CC23</f>
        <v>0.18648711386388567</v>
      </c>
      <c r="O23" s="3">
        <f>NseMeas!BW23</f>
        <v>0.18646894176702067</v>
      </c>
      <c r="P23" s="2">
        <f t="shared" si="0"/>
        <v>0</v>
      </c>
      <c r="Q23" s="3">
        <f>NseMeas!CA23</f>
        <v>2.6878157133072068E-3</v>
      </c>
      <c r="R23" s="3">
        <f>NseMeas!BU23</f>
        <v>0</v>
      </c>
      <c r="S23" s="3">
        <f>NseMeas!BY23</f>
        <v>0</v>
      </c>
      <c r="U23" s="3">
        <f>Calibration!AW23</f>
        <v>2.7228424426248773E-3</v>
      </c>
      <c r="V23" s="3">
        <f>Calibration!AY23</f>
        <v>1.855963637402033E-5</v>
      </c>
      <c r="W23" s="3">
        <f>Calibration!BG23</f>
        <v>3.9714023514119853E-6</v>
      </c>
      <c r="X23" s="3">
        <f>Calibration!BC23</f>
        <v>8.3087354207068802E-6</v>
      </c>
      <c r="Y23" s="3">
        <f>Calibration!BE23</f>
        <v>2.6878157133072068E-3</v>
      </c>
      <c r="Z23" s="3">
        <f>Calibration!BA23</f>
        <v>0</v>
      </c>
      <c r="AA23" s="3">
        <f>Calibration!BI23</f>
        <v>2.0718754642007941E-5</v>
      </c>
    </row>
    <row r="24" spans="1:27">
      <c r="A24" s="2">
        <f>MIN(StopFreqGHz+0.000001,Result!A23+FreqStep)</f>
        <v>10.132000000000005</v>
      </c>
      <c r="B24" s="2">
        <f>DUT!AD25</f>
        <v>20</v>
      </c>
      <c r="C24" s="2">
        <f>DUT!AE25</f>
        <v>4</v>
      </c>
      <c r="D24" s="3">
        <f>10*LOG10((T_0+NseMeas!O24)/T_0)</f>
        <v>3.9999999999999991</v>
      </c>
      <c r="E24" s="3">
        <f>10*LOG10((T_0+NseMeas!BG24)/T_0)</f>
        <v>4.2293186072003062</v>
      </c>
      <c r="F24" s="3">
        <f>10*LOG10((T_0+NseMeas!BH24)/T_0)</f>
        <v>3.7578944644273475</v>
      </c>
      <c r="G24" s="3">
        <f>CHOOSE(SrcDispSelect,NseMeas!BF24+(IF(UseUserCal,0,K24)),N24,U24)</f>
        <v>0.22931860720030722</v>
      </c>
      <c r="H24" s="3">
        <f>CHOOSE(SrcDispSelect,NseMeas!BJ24,O24,AA24)</f>
        <v>3.0143218352957375E-2</v>
      </c>
      <c r="I24" s="3">
        <f>CHOOSE(SrcDispSelect,NseMeas!BL24,R24,Y24)</f>
        <v>0.18646925922660693</v>
      </c>
      <c r="J24" s="3">
        <f>CHOOSE(SrcDispSelect,NseMeas!BN24,Q24,Z24)</f>
        <v>0.1329517681924984</v>
      </c>
      <c r="K24" s="3">
        <f>CHOOSE(SrcDispSelect,IF(UseUserCal,NseMeas!BP24,ABS(D24-C24)),P24,AB24)</f>
        <v>2.7228418862116572E-3</v>
      </c>
      <c r="L24" s="3">
        <f>CHOOSE(SrcDispSelect,NseMeas!BR24,S24,Z24)</f>
        <v>0</v>
      </c>
      <c r="N24" s="3">
        <f>NseMeas!CC24</f>
        <v>0.18648743129054057</v>
      </c>
      <c r="O24" s="3">
        <f>NseMeas!BW24</f>
        <v>0.18646925922660693</v>
      </c>
      <c r="P24" s="2">
        <f t="shared" si="0"/>
        <v>0</v>
      </c>
      <c r="Q24" s="3">
        <f>NseMeas!CA24</f>
        <v>2.6878157133072068E-3</v>
      </c>
      <c r="R24" s="3">
        <f>NseMeas!BU24</f>
        <v>0</v>
      </c>
      <c r="S24" s="3">
        <f>NseMeas!BY24</f>
        <v>0</v>
      </c>
      <c r="U24" s="3">
        <f>Calibration!AW24</f>
        <v>2.7228418862116572E-3</v>
      </c>
      <c r="V24" s="3">
        <f>Calibration!AY24</f>
        <v>1.8505825173431944E-5</v>
      </c>
      <c r="W24" s="3">
        <f>Calibration!BG24</f>
        <v>3.8971071446486629E-6</v>
      </c>
      <c r="X24" s="3">
        <f>Calibration!BC24</f>
        <v>8.2813842771221714E-6</v>
      </c>
      <c r="Y24" s="3">
        <f>Calibration!BE24</f>
        <v>2.6878157133072068E-3</v>
      </c>
      <c r="Z24" s="3">
        <f>Calibration!BA24</f>
        <v>0</v>
      </c>
      <c r="AA24" s="3">
        <f>Calibration!BI24</f>
        <v>2.0645433211478544E-5</v>
      </c>
    </row>
    <row r="25" spans="1:27">
      <c r="A25" s="2">
        <f>MIN(StopFreqGHz+0.000001,Result!A24+FreqStep)</f>
        <v>10.660000000000005</v>
      </c>
      <c r="B25" s="2">
        <f>DUT!AD26</f>
        <v>20</v>
      </c>
      <c r="C25" s="2">
        <f>DUT!AE26</f>
        <v>4</v>
      </c>
      <c r="D25" s="3">
        <f>10*LOG10((T_0+NseMeas!O25)/T_0)</f>
        <v>4.0000000000000018</v>
      </c>
      <c r="E25" s="3">
        <f>10*LOG10((T_0+NseMeas!BG25)/T_0)</f>
        <v>4.2293188997600399</v>
      </c>
      <c r="F25" s="3">
        <f>10*LOG10((T_0+NseMeas!BH25)/T_0)</f>
        <v>3.7578941383227016</v>
      </c>
      <c r="G25" s="3">
        <f>CHOOSE(SrcDispSelect,NseMeas!BF25+(IF(UseUserCal,0,K25)),N25,U25)</f>
        <v>0.22931889976003644</v>
      </c>
      <c r="H25" s="3">
        <f>CHOOSE(SrcDispSelect,NseMeas!BJ25,O25,AA25)</f>
        <v>3.0142585974355603E-2</v>
      </c>
      <c r="I25" s="3">
        <f>CHOOSE(SrcDispSelect,NseMeas!BL25,R25,Y25)</f>
        <v>0.18646956680825127</v>
      </c>
      <c r="J25" s="3">
        <f>CHOOSE(SrcDispSelect,NseMeas!BN25,Q25,Z25)</f>
        <v>0.13295198884393838</v>
      </c>
      <c r="K25" s="3">
        <f>CHOOSE(SrcDispSelect,IF(UseUserCal,NseMeas!BP25,ABS(D25-C25)),P25,AB25)</f>
        <v>2.7228413492434763E-3</v>
      </c>
      <c r="L25" s="3">
        <f>CHOOSE(SrcDispSelect,NseMeas!BR25,S25,Z25)</f>
        <v>0</v>
      </c>
      <c r="N25" s="3">
        <f>NseMeas!CC25</f>
        <v>0.18648773884027778</v>
      </c>
      <c r="O25" s="3">
        <f>NseMeas!BW25</f>
        <v>0.18646956680825127</v>
      </c>
      <c r="P25" s="2">
        <f t="shared" si="0"/>
        <v>0</v>
      </c>
      <c r="Q25" s="3">
        <f>NseMeas!CA25</f>
        <v>2.6878157133072068E-3</v>
      </c>
      <c r="R25" s="3">
        <f>NseMeas!BU25</f>
        <v>0</v>
      </c>
      <c r="S25" s="3">
        <f>NseMeas!BY25</f>
        <v>0</v>
      </c>
      <c r="U25" s="3">
        <f>Calibration!AW25</f>
        <v>2.7228413492434763E-3</v>
      </c>
      <c r="V25" s="3">
        <f>Calibration!AY25</f>
        <v>1.8453688336486E-5</v>
      </c>
      <c r="W25" s="3">
        <f>Calibration!BG25</f>
        <v>3.8244986865887659E-6</v>
      </c>
      <c r="X25" s="3">
        <f>Calibration!BC25</f>
        <v>8.254819038505843E-6</v>
      </c>
      <c r="Y25" s="3">
        <f>Calibration!BE25</f>
        <v>2.6878157133072068E-3</v>
      </c>
      <c r="Z25" s="3">
        <f>Calibration!BA25</f>
        <v>0</v>
      </c>
      <c r="AA25" s="3">
        <f>Calibration!BI25</f>
        <v>2.0574426474822589E-5</v>
      </c>
    </row>
    <row r="26" spans="1:27">
      <c r="A26" s="2">
        <f>MIN(StopFreqGHz+0.000001,Result!A25+FreqStep)</f>
        <v>11.188000000000006</v>
      </c>
      <c r="B26" s="2">
        <f>DUT!AD27</f>
        <v>20</v>
      </c>
      <c r="C26" s="2">
        <f>DUT!AE27</f>
        <v>4</v>
      </c>
      <c r="D26" s="3">
        <f>10*LOG10((T_0+NseMeas!O26)/T_0)</f>
        <v>4</v>
      </c>
      <c r="E26" s="3">
        <f>10*LOG10((T_0+NseMeas!BG26)/T_0)</f>
        <v>4.2293191832190882</v>
      </c>
      <c r="F26" s="3">
        <f>10*LOG10((T_0+NseMeas!BH26)/T_0)</f>
        <v>3.7578938223621683</v>
      </c>
      <c r="G26" s="3">
        <f>CHOOSE(SrcDispSelect,NseMeas!BF26+(IF(UseUserCal,0,K26)),N26,U26)</f>
        <v>0.22931918321908804</v>
      </c>
      <c r="H26" s="3">
        <f>CHOOSE(SrcDispSelect,NseMeas!BJ26,O26,AA26)</f>
        <v>3.0141973277992194E-2</v>
      </c>
      <c r="I26" s="3">
        <f>CHOOSE(SrcDispSelect,NseMeas!BL26,R26,Y26)</f>
        <v>0.18646986481931205</v>
      </c>
      <c r="J26" s="3">
        <f>CHOOSE(SrcDispSelect,NseMeas!BN26,Q26,Z26)</f>
        <v>0.13295220262968283</v>
      </c>
      <c r="K26" s="3">
        <f>CHOOSE(SrcDispSelect,IF(UseUserCal,NseMeas!BP26,ABS(D26-C26)),P26,AB26)</f>
        <v>2.7228408309859795E-3</v>
      </c>
      <c r="L26" s="3">
        <f>CHOOSE(SrcDispSelect,NseMeas!BR26,S26,Z26)</f>
        <v>0</v>
      </c>
      <c r="N26" s="3">
        <f>NseMeas!CC26</f>
        <v>0.18648803682042578</v>
      </c>
      <c r="O26" s="3">
        <f>NseMeas!BW26</f>
        <v>0.18646986481931205</v>
      </c>
      <c r="P26" s="2">
        <f t="shared" si="0"/>
        <v>0</v>
      </c>
      <c r="Q26" s="3">
        <f>NseMeas!CA26</f>
        <v>2.6878157133072068E-3</v>
      </c>
      <c r="R26" s="3">
        <f>NseMeas!BU26</f>
        <v>0</v>
      </c>
      <c r="S26" s="3">
        <f>NseMeas!BY26</f>
        <v>0</v>
      </c>
      <c r="U26" s="3">
        <f>Calibration!AW26</f>
        <v>2.7228408309859795E-3</v>
      </c>
      <c r="V26" s="3">
        <f>Calibration!AY26</f>
        <v>1.8403173763743533E-5</v>
      </c>
      <c r="W26" s="3">
        <f>Calibration!BG26</f>
        <v>3.7535287281981368E-6</v>
      </c>
      <c r="X26" s="3">
        <f>Calibration!BC26</f>
        <v>8.2290186526792787E-6</v>
      </c>
      <c r="Y26" s="3">
        <f>Calibration!BE26</f>
        <v>2.6878157133072068E-3</v>
      </c>
      <c r="Z26" s="3">
        <f>Calibration!BA26</f>
        <v>0</v>
      </c>
      <c r="AA26" s="3">
        <f>Calibration!BI26</f>
        <v>2.050566069905932E-5</v>
      </c>
    </row>
    <row r="27" spans="1:27">
      <c r="A27" s="2">
        <f>MIN(StopFreqGHz+0.000001,Result!A26+FreqStep)</f>
        <v>11.716000000000006</v>
      </c>
      <c r="B27" s="2">
        <f>DUT!AD28</f>
        <v>20</v>
      </c>
      <c r="C27" s="2">
        <f>DUT!AE28</f>
        <v>4</v>
      </c>
      <c r="D27" s="3">
        <f>10*LOG10((T_0+NseMeas!O27)/T_0)</f>
        <v>4.0000000000000009</v>
      </c>
      <c r="E27" s="3">
        <f>10*LOG10((T_0+NseMeas!BG27)/T_0)</f>
        <v>4.229319457860484</v>
      </c>
      <c r="F27" s="3">
        <f>10*LOG10((T_0+NseMeas!BH27)/T_0)</f>
        <v>3.7578935162302871</v>
      </c>
      <c r="G27" s="3">
        <f>CHOOSE(SrcDispSelect,NseMeas!BF27+(IF(UseUserCal,0,K27)),N27,U27)</f>
        <v>0.22931945786048286</v>
      </c>
      <c r="H27" s="3">
        <f>CHOOSE(SrcDispSelect,NseMeas!BJ27,O27,AA27)</f>
        <v>3.0141379651108482E-2</v>
      </c>
      <c r="I27" s="3">
        <f>CHOOSE(SrcDispSelect,NseMeas!BL27,R27,Y27)</f>
        <v>0.18647015355758526</v>
      </c>
      <c r="J27" s="3">
        <f>CHOOSE(SrcDispSelect,NseMeas!BN27,Q27,Z27)</f>
        <v>0.13295240976336428</v>
      </c>
      <c r="K27" s="3">
        <f>CHOOSE(SrcDispSelect,IF(UseUserCal,NseMeas!BP27,ABS(D27-C27)),P27,AB27)</f>
        <v>2.7228403307317925E-3</v>
      </c>
      <c r="L27" s="3">
        <f>CHOOSE(SrcDispSelect,NseMeas!BR27,S27,Z27)</f>
        <v>0</v>
      </c>
      <c r="N27" s="3">
        <f>NseMeas!CC27</f>
        <v>0.18648832552874695</v>
      </c>
      <c r="O27" s="3">
        <f>NseMeas!BW27</f>
        <v>0.18647015355758526</v>
      </c>
      <c r="P27" s="2">
        <f t="shared" si="0"/>
        <v>0</v>
      </c>
      <c r="Q27" s="3">
        <f>NseMeas!CA27</f>
        <v>2.6878157133072068E-3</v>
      </c>
      <c r="R27" s="3">
        <f>NseMeas!BU27</f>
        <v>0</v>
      </c>
      <c r="S27" s="3">
        <f>NseMeas!BY27</f>
        <v>0</v>
      </c>
      <c r="U27" s="3">
        <f>Calibration!AW27</f>
        <v>2.7228403307317925E-3</v>
      </c>
      <c r="V27" s="3">
        <f>Calibration!AY27</f>
        <v>1.8354230976788918E-5</v>
      </c>
      <c r="W27" s="3">
        <f>Calibration!BG27</f>
        <v>3.6841506327917254E-6</v>
      </c>
      <c r="X27" s="3">
        <f>Calibration!BC27</f>
        <v>8.2039625544474105E-6</v>
      </c>
      <c r="Y27" s="3">
        <f>Calibration!BE27</f>
        <v>2.6878157133072068E-3</v>
      </c>
      <c r="Z27" s="3">
        <f>Calibration!BA27</f>
        <v>0</v>
      </c>
      <c r="AA27" s="3">
        <f>Calibration!BI27</f>
        <v>2.0439064521505548E-5</v>
      </c>
    </row>
    <row r="28" spans="1:27">
      <c r="A28" s="2">
        <f>MIN(StopFreqGHz+0.000001,Result!A27+FreqStep)</f>
        <v>12.244000000000007</v>
      </c>
      <c r="B28" s="2">
        <f>DUT!AD29</f>
        <v>20</v>
      </c>
      <c r="C28" s="2">
        <f>DUT!AE29</f>
        <v>4</v>
      </c>
      <c r="D28" s="3">
        <f>10*LOG10((T_0+NseMeas!O28)/T_0)</f>
        <v>4.0000000000000018</v>
      </c>
      <c r="E28" s="3">
        <f>10*LOG10((T_0+NseMeas!BG28)/T_0)</f>
        <v>4.2293197239584464</v>
      </c>
      <c r="F28" s="3">
        <f>10*LOG10((T_0+NseMeas!BH28)/T_0)</f>
        <v>3.7578932196213937</v>
      </c>
      <c r="G28" s="3">
        <f>CHOOSE(SrcDispSelect,NseMeas!BF28+(IF(UseUserCal,0,K28)),N28,U28)</f>
        <v>0.22931972395844463</v>
      </c>
      <c r="H28" s="3">
        <f>CHOOSE(SrcDispSelect,NseMeas!BJ28,O28,AA28)</f>
        <v>3.0140804500036127E-2</v>
      </c>
      <c r="I28" s="3">
        <f>CHOOSE(SrcDispSelect,NseMeas!BL28,R28,Y28)</f>
        <v>0.18647043331160013</v>
      </c>
      <c r="J28" s="3">
        <f>CHOOSE(SrcDispSelect,NseMeas!BN28,Q28,Z28)</f>
        <v>0.13295261045196277</v>
      </c>
      <c r="K28" s="3">
        <f>CHOOSE(SrcDispSelect,IF(UseUserCal,NseMeas!BP28,ABS(D28-C28)),P28,AB28)</f>
        <v>2.722839847808238E-3</v>
      </c>
      <c r="L28" s="3">
        <f>CHOOSE(SrcDispSelect,NseMeas!BR28,S28,Z28)</f>
        <v>0</v>
      </c>
      <c r="N28" s="3">
        <f>NseMeas!CC28</f>
        <v>0.18648860525374064</v>
      </c>
      <c r="O28" s="3">
        <f>NseMeas!BW28</f>
        <v>0.18647043331160013</v>
      </c>
      <c r="P28" s="2">
        <f t="shared" si="0"/>
        <v>0</v>
      </c>
      <c r="Q28" s="3">
        <f>NseMeas!CA28</f>
        <v>2.6878157133072068E-3</v>
      </c>
      <c r="R28" s="3">
        <f>NseMeas!BU28</f>
        <v>0</v>
      </c>
      <c r="S28" s="3">
        <f>NseMeas!BY28</f>
        <v>0</v>
      </c>
      <c r="U28" s="3">
        <f>Calibration!AW28</f>
        <v>2.722839847808238E-3</v>
      </c>
      <c r="V28" s="3">
        <f>Calibration!AY28</f>
        <v>1.8306811069049664E-5</v>
      </c>
      <c r="W28" s="3">
        <f>Calibration!BG28</f>
        <v>3.6163193220316066E-6</v>
      </c>
      <c r="X28" s="3">
        <f>Calibration!BC28</f>
        <v>8.1796306646344284E-6</v>
      </c>
      <c r="Y28" s="3">
        <f>Calibration!BE28</f>
        <v>2.6878157133072068E-3</v>
      </c>
      <c r="Z28" s="3">
        <f>Calibration!BA28</f>
        <v>0</v>
      </c>
      <c r="AA28" s="3">
        <f>Calibration!BI28</f>
        <v>2.0374568875523282E-5</v>
      </c>
    </row>
    <row r="29" spans="1:27">
      <c r="A29" s="2">
        <f>MIN(StopFreqGHz+0.000001,Result!A28+FreqStep)</f>
        <v>12.772000000000007</v>
      </c>
      <c r="B29" s="2">
        <f>DUT!AD30</f>
        <v>20</v>
      </c>
      <c r="C29" s="2">
        <f>DUT!AE30</f>
        <v>4</v>
      </c>
      <c r="D29" s="3">
        <f>10*LOG10((T_0+NseMeas!O29)/T_0)</f>
        <v>4</v>
      </c>
      <c r="E29" s="3">
        <f>10*LOG10((T_0+NseMeas!BG29)/T_0)</f>
        <v>4.2293199817786746</v>
      </c>
      <c r="F29" s="3">
        <f>10*LOG10((T_0+NseMeas!BH29)/T_0)</f>
        <v>3.7578929322393222</v>
      </c>
      <c r="G29" s="3">
        <f>CHOOSE(SrcDispSelect,NseMeas!BF29+(IF(UseUserCal,0,K29)),N29,U29)</f>
        <v>0.22931998177867366</v>
      </c>
      <c r="H29" s="3">
        <f>CHOOSE(SrcDispSelect,NseMeas!BJ29,O29,AA29)</f>
        <v>3.0140247249596713E-2</v>
      </c>
      <c r="I29" s="3">
        <f>CHOOSE(SrcDispSelect,NseMeas!BL29,R29,Y29)</f>
        <v>0.18647070436090454</v>
      </c>
      <c r="J29" s="3">
        <f>CHOOSE(SrcDispSelect,NseMeas!BN29,Q29,Z29)</f>
        <v>0.13295280489602457</v>
      </c>
      <c r="K29" s="3">
        <f>CHOOSE(SrcDispSelect,IF(UseUserCal,NseMeas!BP29,ABS(D29-C29)),P29,AB29)</f>
        <v>2.7228393815676927E-3</v>
      </c>
      <c r="L29" s="3">
        <f>CHOOSE(SrcDispSelect,NseMeas!BR29,S29,Z29)</f>
        <v>0</v>
      </c>
      <c r="N29" s="3">
        <f>NseMeas!CC29</f>
        <v>0.18648887627492966</v>
      </c>
      <c r="O29" s="3">
        <f>NseMeas!BW29</f>
        <v>0.18647070436090454</v>
      </c>
      <c r="P29" s="2">
        <f t="shared" si="0"/>
        <v>0</v>
      </c>
      <c r="Q29" s="3">
        <f>NseMeas!CA29</f>
        <v>2.6878157133072068E-3</v>
      </c>
      <c r="R29" s="3">
        <f>NseMeas!BU29</f>
        <v>0</v>
      </c>
      <c r="S29" s="3">
        <f>NseMeas!BY29</f>
        <v>0</v>
      </c>
      <c r="U29" s="3">
        <f>Calibration!AW29</f>
        <v>2.7228393815676927E-3</v>
      </c>
      <c r="V29" s="3">
        <f>Calibration!AY29</f>
        <v>1.826086665661616E-5</v>
      </c>
      <c r="W29" s="3">
        <f>Calibration!BG29</f>
        <v>3.549991221924972E-6</v>
      </c>
      <c r="X29" s="3">
        <f>Calibration!BC29</f>
        <v>8.1560033785119286E-6</v>
      </c>
      <c r="Y29" s="3">
        <f>Calibration!BE29</f>
        <v>2.6878157133072068E-3</v>
      </c>
      <c r="Z29" s="3">
        <f>Calibration!BA29</f>
        <v>0</v>
      </c>
      <c r="AA29" s="3">
        <f>Calibration!BI29</f>
        <v>2.0312106920124712E-5</v>
      </c>
    </row>
    <row r="30" spans="1:27">
      <c r="A30" s="2">
        <f>MIN(StopFreqGHz+0.000001,Result!A29+FreqStep)</f>
        <v>13.300000000000008</v>
      </c>
      <c r="B30" s="2">
        <f>DUT!AD31</f>
        <v>20</v>
      </c>
      <c r="C30" s="2">
        <f>DUT!AE31</f>
        <v>4</v>
      </c>
      <c r="D30" s="3">
        <f>10*LOG10((T_0+NseMeas!O30)/T_0)</f>
        <v>4.0000000000000018</v>
      </c>
      <c r="E30" s="3">
        <f>10*LOG10((T_0+NseMeas!BG30)/T_0)</f>
        <v>4.2293225194039019</v>
      </c>
      <c r="F30" s="3">
        <f>10*LOG10((T_0+NseMeas!BH30)/T_0)</f>
        <v>3.7578901036463641</v>
      </c>
      <c r="G30" s="3">
        <f>CHOOSE(SrcDispSelect,NseMeas!BF30+(IF(UseUserCal,0,K30)),N30,U30)</f>
        <v>0.22932251940390053</v>
      </c>
      <c r="H30" s="3">
        <f>CHOOSE(SrcDispSelect,NseMeas!BJ30,O30,AA30)</f>
        <v>3.0158349141795566E-2</v>
      </c>
      <c r="I30" s="3">
        <f>CHOOSE(SrcDispSelect,NseMeas!BL30,R30,Y30)</f>
        <v>0.18647096697635429</v>
      </c>
      <c r="J30" s="3">
        <f>CHOOSE(SrcDispSelect,NseMeas!BN30,Q30,Z30)</f>
        <v>0.1329529932898485</v>
      </c>
      <c r="K30" s="3">
        <f>CHOOSE(SrcDispSelect,IF(UseUserCal,NseMeas!BP30,ABS(D30-C30)),P30,AB30)</f>
        <v>2.7228541326656122E-3</v>
      </c>
      <c r="L30" s="3">
        <f>CHOOSE(SrcDispSelect,NseMeas!BR30,S30,Z30)</f>
        <v>0</v>
      </c>
      <c r="N30" s="3">
        <f>NseMeas!CC30</f>
        <v>0.1864891388631372</v>
      </c>
      <c r="O30" s="3">
        <f>NseMeas!BW30</f>
        <v>0.18647096697635429</v>
      </c>
      <c r="P30" s="2">
        <f t="shared" si="0"/>
        <v>0</v>
      </c>
      <c r="Q30" s="3">
        <f>NseMeas!CA30</f>
        <v>2.6878157133072068E-3</v>
      </c>
      <c r="R30" s="3">
        <f>NseMeas!BU30</f>
        <v>0</v>
      </c>
      <c r="S30" s="3">
        <f>NseMeas!BY30</f>
        <v>0</v>
      </c>
      <c r="U30" s="3">
        <f>Calibration!AW30</f>
        <v>2.7228541326656122E-3</v>
      </c>
      <c r="V30" s="3">
        <f>Calibration!AY30</f>
        <v>1.9669126723572561E-5</v>
      </c>
      <c r="W30" s="3">
        <f>Calibration!BG30</f>
        <v>5.3102710576061056E-6</v>
      </c>
      <c r="X30" s="3">
        <f>Calibration!BC30</f>
        <v>8.8268730140347528E-6</v>
      </c>
      <c r="Y30" s="3">
        <f>Calibration!BE30</f>
        <v>2.6878157133072068E-3</v>
      </c>
      <c r="Z30" s="3">
        <f>Calibration!BA30</f>
        <v>0</v>
      </c>
      <c r="AA30" s="3">
        <f>Calibration!BI30</f>
        <v>2.2203302379773236E-5</v>
      </c>
    </row>
    <row r="31" spans="1:27">
      <c r="A31" s="2">
        <f>MIN(StopFreqGHz+0.000001,Result!A30+FreqStep)</f>
        <v>13.828000000000008</v>
      </c>
      <c r="B31" s="2">
        <f>DUT!AD32</f>
        <v>20</v>
      </c>
      <c r="C31" s="2">
        <f>DUT!AE32</f>
        <v>4</v>
      </c>
      <c r="D31" s="3">
        <f>10*LOG10((T_0+NseMeas!O31)/T_0)</f>
        <v>4.0000000000000018</v>
      </c>
      <c r="E31" s="3">
        <f>10*LOG10((T_0+NseMeas!BG31)/T_0)</f>
        <v>4.2293226901571419</v>
      </c>
      <c r="F31" s="3">
        <f>10*LOG10((T_0+NseMeas!BH31)/T_0)</f>
        <v>3.757889913314187</v>
      </c>
      <c r="G31" s="3">
        <f>CHOOSE(SrcDispSelect,NseMeas!BF31+(IF(UseUserCal,0,K31)),N31,U31)</f>
        <v>0.22932269015714069</v>
      </c>
      <c r="H31" s="3">
        <f>CHOOSE(SrcDispSelect,NseMeas!BJ31,O31,AA31)</f>
        <v>3.0157245779899644E-2</v>
      </c>
      <c r="I31" s="3">
        <f>CHOOSE(SrcDispSelect,NseMeas!BL31,R31,Y31)</f>
        <v>0.18647122142037356</v>
      </c>
      <c r="J31" s="3">
        <f>CHOOSE(SrcDispSelect,NseMeas!BN31,Q31,Z31)</f>
        <v>0.1329531758216943</v>
      </c>
      <c r="K31" s="3">
        <f>CHOOSE(SrcDispSelect,IF(UseUserCal,NseMeas!BP31,ABS(D31-C31)),P31,AB31)</f>
        <v>2.7228531559313255E-3</v>
      </c>
      <c r="L31" s="3">
        <f>CHOOSE(SrcDispSelect,NseMeas!BR31,S31,Z31)</f>
        <v>0</v>
      </c>
      <c r="N31" s="3">
        <f>NseMeas!CC31</f>
        <v>0.18648939328076225</v>
      </c>
      <c r="O31" s="3">
        <f>NseMeas!BW31</f>
        <v>0.18647122142037356</v>
      </c>
      <c r="P31" s="2">
        <f t="shared" si="0"/>
        <v>0</v>
      </c>
      <c r="Q31" s="3">
        <f>NseMeas!CA31</f>
        <v>2.6878157133072068E-3</v>
      </c>
      <c r="R31" s="3">
        <f>NseMeas!BU31</f>
        <v>0</v>
      </c>
      <c r="S31" s="3">
        <f>NseMeas!BY31</f>
        <v>0</v>
      </c>
      <c r="U31" s="3">
        <f>Calibration!AW31</f>
        <v>2.7228531559313255E-3</v>
      </c>
      <c r="V31" s="3">
        <f>Calibration!AY31</f>
        <v>1.9580793174232842E-5</v>
      </c>
      <c r="W31" s="3">
        <f>Calibration!BG31</f>
        <v>5.2039834709591683E-6</v>
      </c>
      <c r="X31" s="3">
        <f>Calibration!BC31</f>
        <v>8.7848916824618283E-6</v>
      </c>
      <c r="Y31" s="3">
        <f>Calibration!BE31</f>
        <v>2.6878157133072068E-3</v>
      </c>
      <c r="Z31" s="3">
        <f>Calibration!BA31</f>
        <v>0</v>
      </c>
      <c r="AA31" s="3">
        <f>Calibration!BI31</f>
        <v>2.208308548904687E-5</v>
      </c>
    </row>
    <row r="32" spans="1:27">
      <c r="A32" s="2">
        <f>MIN(StopFreqGHz+0.000001,Result!A31+FreqStep)</f>
        <v>14.356000000000009</v>
      </c>
      <c r="B32" s="2">
        <f>DUT!AD33</f>
        <v>20</v>
      </c>
      <c r="C32" s="2">
        <f>DUT!AE33</f>
        <v>4</v>
      </c>
      <c r="D32" s="3">
        <f>10*LOG10((T_0+NseMeas!O32)/T_0)</f>
        <v>4.0000000000000018</v>
      </c>
      <c r="E32" s="3">
        <f>10*LOG10((T_0+NseMeas!BG32)/T_0)</f>
        <v>4.2293228556044484</v>
      </c>
      <c r="F32" s="3">
        <f>10*LOG10((T_0+NseMeas!BH32)/T_0)</f>
        <v>3.7578897288963202</v>
      </c>
      <c r="G32" s="3">
        <f>CHOOSE(SrcDispSelect,NseMeas!BF32+(IF(UseUserCal,0,K32)),N32,U32)</f>
        <v>0.22932285560444615</v>
      </c>
      <c r="H32" s="3">
        <f>CHOOSE(SrcDispSelect,NseMeas!BJ32,O32,AA32)</f>
        <v>3.015617676619942E-2</v>
      </c>
      <c r="I32" s="3">
        <f>CHOOSE(SrcDispSelect,NseMeas!BL32,R32,Y32)</f>
        <v>0.18647146794722091</v>
      </c>
      <c r="J32" s="3">
        <f>CHOOSE(SrcDispSelect,NseMeas!BN32,Q32,Z32)</f>
        <v>0.13295335267395864</v>
      </c>
      <c r="K32" s="3">
        <f>CHOOSE(SrcDispSelect,IF(UseUserCal,NseMeas!BP32,ABS(D32-C32)),P32,AB32)</f>
        <v>2.7228522151882409E-3</v>
      </c>
      <c r="L32" s="3">
        <f>CHOOSE(SrcDispSelect,NseMeas!BR32,S32,Z32)</f>
        <v>0</v>
      </c>
      <c r="N32" s="3">
        <f>NseMeas!CC32</f>
        <v>0.18648963978203653</v>
      </c>
      <c r="O32" s="3">
        <f>NseMeas!BW32</f>
        <v>0.18647146794722091</v>
      </c>
      <c r="P32" s="2">
        <f t="shared" si="0"/>
        <v>0</v>
      </c>
      <c r="Q32" s="3">
        <f>NseMeas!CA32</f>
        <v>2.6878157133072068E-3</v>
      </c>
      <c r="R32" s="3">
        <f>NseMeas!BU32</f>
        <v>0</v>
      </c>
      <c r="S32" s="3">
        <f>NseMeas!BY32</f>
        <v>0</v>
      </c>
      <c r="U32" s="3">
        <f>Calibration!AW32</f>
        <v>2.7228522151882409E-3</v>
      </c>
      <c r="V32" s="3">
        <f>Calibration!AY32</f>
        <v>1.9495208166798576E-5</v>
      </c>
      <c r="W32" s="3">
        <f>Calibration!BG32</f>
        <v>5.1003325042013027E-6</v>
      </c>
      <c r="X32" s="3">
        <f>Calibration!BC32</f>
        <v>8.7440772171555412E-6</v>
      </c>
      <c r="Y32" s="3">
        <f>Calibration!BE32</f>
        <v>2.6878157133072068E-3</v>
      </c>
      <c r="Z32" s="3">
        <f>Calibration!BA32</f>
        <v>0</v>
      </c>
      <c r="AA32" s="3">
        <f>Calibration!BI32</f>
        <v>2.196667633942008E-5</v>
      </c>
    </row>
    <row r="33" spans="1:27">
      <c r="A33" s="2">
        <f>MIN(StopFreqGHz+0.000001,Result!A32+FreqStep)</f>
        <v>14.884000000000009</v>
      </c>
      <c r="B33" s="2">
        <f>DUT!AD34</f>
        <v>20</v>
      </c>
      <c r="C33" s="2">
        <f>DUT!AE34</f>
        <v>4</v>
      </c>
      <c r="D33" s="3">
        <f>10*LOG10((T_0+NseMeas!O33)/T_0)</f>
        <v>4.0000000000000009</v>
      </c>
      <c r="E33" s="3">
        <f>10*LOG10((T_0+NseMeas!BG33)/T_0)</f>
        <v>4.2293230159104782</v>
      </c>
      <c r="F33" s="3">
        <f>10*LOG10((T_0+NseMeas!BH33)/T_0)</f>
        <v>3.7578895502092231</v>
      </c>
      <c r="G33" s="3">
        <f>CHOOSE(SrcDispSelect,NseMeas!BF33+(IF(UseUserCal,0,K33)),N33,U33)</f>
        <v>0.22932301591047694</v>
      </c>
      <c r="H33" s="3">
        <f>CHOOSE(SrcDispSelect,NseMeas!BJ33,O33,AA33)</f>
        <v>3.0155141030923045E-2</v>
      </c>
      <c r="I33" s="3">
        <f>CHOOSE(SrcDispSelect,NseMeas!BL33,R33,Y33)</f>
        <v>0.18647170680324338</v>
      </c>
      <c r="J33" s="3">
        <f>CHOOSE(SrcDispSelect,NseMeas!BN33,Q33,Z33)</f>
        <v>0.13295352402336669</v>
      </c>
      <c r="K33" s="3">
        <f>CHOOSE(SrcDispSelect,IF(UseUserCal,NseMeas!BP33,ABS(D33-C33)),P33,AB33)</f>
        <v>2.7228513089714982E-3</v>
      </c>
      <c r="L33" s="3">
        <f>CHOOSE(SrcDispSelect,NseMeas!BR33,S33,Z33)</f>
        <v>0</v>
      </c>
      <c r="N33" s="3">
        <f>NseMeas!CC33</f>
        <v>0.18648987861328203</v>
      </c>
      <c r="O33" s="3">
        <f>NseMeas!BW33</f>
        <v>0.18647170680324338</v>
      </c>
      <c r="P33" s="2">
        <f t="shared" si="0"/>
        <v>0</v>
      </c>
      <c r="Q33" s="3">
        <f>NseMeas!CA33</f>
        <v>2.6878157133072068E-3</v>
      </c>
      <c r="R33" s="3">
        <f>NseMeas!BU33</f>
        <v>0</v>
      </c>
      <c r="S33" s="3">
        <f>NseMeas!BY33</f>
        <v>0</v>
      </c>
      <c r="U33" s="3">
        <f>Calibration!AW33</f>
        <v>2.7228513089714982E-3</v>
      </c>
      <c r="V33" s="3">
        <f>Calibration!AY33</f>
        <v>1.9412286179468842E-5</v>
      </c>
      <c r="W33" s="3">
        <f>Calibration!BG33</f>
        <v>4.9992380345373069E-6</v>
      </c>
      <c r="X33" s="3">
        <f>Calibration!BC33</f>
        <v>8.7044000104619217E-6</v>
      </c>
      <c r="Y33" s="3">
        <f>Calibration!BE33</f>
        <v>2.6878157133072068E-3</v>
      </c>
      <c r="Z33" s="3">
        <f>Calibration!BA33</f>
        <v>0</v>
      </c>
      <c r="AA33" s="3">
        <f>Calibration!BI33</f>
        <v>2.1853953347475252E-5</v>
      </c>
    </row>
    <row r="34" spans="1:27">
      <c r="A34" s="2">
        <f>MIN(StopFreqGHz+0.000001,Result!A33+FreqStep)</f>
        <v>15.41200000000001</v>
      </c>
      <c r="B34" s="2">
        <f>DUT!AD35</f>
        <v>20</v>
      </c>
      <c r="C34" s="2">
        <f>DUT!AE35</f>
        <v>4</v>
      </c>
      <c r="D34" s="3">
        <f>10*LOG10((T_0+NseMeas!O34)/T_0)</f>
        <v>4</v>
      </c>
      <c r="E34" s="3">
        <f>10*LOG10((T_0+NseMeas!BG34)/T_0)</f>
        <v>4.2293231712347961</v>
      </c>
      <c r="F34" s="3">
        <f>10*LOG10((T_0+NseMeas!BH34)/T_0)</f>
        <v>3.7578893770750414</v>
      </c>
      <c r="G34" s="3">
        <f>CHOOSE(SrcDispSelect,NseMeas!BF34+(IF(UseUserCal,0,K34)),N34,U34)</f>
        <v>0.22932317123479512</v>
      </c>
      <c r="H34" s="3">
        <f>CHOOSE(SrcDispSelect,NseMeas!BJ34,O34,AA34)</f>
        <v>3.0154137537646248E-2</v>
      </c>
      <c r="I34" s="3">
        <f>CHOOSE(SrcDispSelect,NseMeas!BL34,R34,Y34)</f>
        <v>0.18647193822712499</v>
      </c>
      <c r="J34" s="3">
        <f>CHOOSE(SrcDispSelect,NseMeas!BN34,Q34,Z34)</f>
        <v>0.13295369004114335</v>
      </c>
      <c r="K34" s="3">
        <f>CHOOSE(SrcDispSelect,IF(UseUserCal,NseMeas!BP34,ABS(D34-C34)),P34,AB34)</f>
        <v>2.7228504358856264E-3</v>
      </c>
      <c r="L34" s="3">
        <f>CHOOSE(SrcDispSelect,NseMeas!BR34,S34,Z34)</f>
        <v>0</v>
      </c>
      <c r="N34" s="3">
        <f>NseMeas!CC34</f>
        <v>0.18649011001315774</v>
      </c>
      <c r="O34" s="3">
        <f>NseMeas!BW34</f>
        <v>0.18647193822712499</v>
      </c>
      <c r="P34" s="2">
        <f t="shared" si="0"/>
        <v>0</v>
      </c>
      <c r="Q34" s="3">
        <f>NseMeas!CA34</f>
        <v>2.6878157133072068E-3</v>
      </c>
      <c r="R34" s="3">
        <f>NseMeas!BU34</f>
        <v>0</v>
      </c>
      <c r="S34" s="3">
        <f>NseMeas!BY34</f>
        <v>0</v>
      </c>
      <c r="U34" s="3">
        <f>Calibration!AW34</f>
        <v>2.7228504358856264E-3</v>
      </c>
      <c r="V34" s="3">
        <f>Calibration!AY34</f>
        <v>1.9331944350998799E-5</v>
      </c>
      <c r="W34" s="3">
        <f>Calibration!BG34</f>
        <v>4.9006226257732017E-6</v>
      </c>
      <c r="X34" s="3">
        <f>Calibration!BC34</f>
        <v>8.6658310931085254E-6</v>
      </c>
      <c r="Y34" s="3">
        <f>Calibration!BE34</f>
        <v>2.6878157133072068E-3</v>
      </c>
      <c r="Z34" s="3">
        <f>Calibration!BA34</f>
        <v>0</v>
      </c>
      <c r="AA34" s="3">
        <f>Calibration!BI34</f>
        <v>2.1744798828528964E-5</v>
      </c>
    </row>
    <row r="35" spans="1:27">
      <c r="A35" s="2">
        <f>MIN(StopFreqGHz+0.000001,Result!A34+FreqStep)</f>
        <v>15.94000000000001</v>
      </c>
      <c r="B35" s="2">
        <f>DUT!AD36</f>
        <v>20</v>
      </c>
      <c r="C35" s="2">
        <f>DUT!AE36</f>
        <v>4</v>
      </c>
      <c r="D35" s="3">
        <f>10*LOG10((T_0+NseMeas!O35)/T_0)</f>
        <v>4</v>
      </c>
      <c r="E35" s="3">
        <f>10*LOG10((T_0+NseMeas!BG35)/T_0)</f>
        <v>4.229323321732025</v>
      </c>
      <c r="F35" s="3">
        <f>10*LOG10((T_0+NseMeas!BH35)/T_0)</f>
        <v>3.7578892093214216</v>
      </c>
      <c r="G35" s="3">
        <f>CHOOSE(SrcDispSelect,NseMeas!BF35+(IF(UseUserCal,0,K35)),N35,U35)</f>
        <v>0.22932332173202424</v>
      </c>
      <c r="H35" s="3">
        <f>CHOOSE(SrcDispSelect,NseMeas!BJ35,O35,AA35)</f>
        <v>3.0153165282254354E-2</v>
      </c>
      <c r="I35" s="3">
        <f>CHOOSE(SrcDispSelect,NseMeas!BL35,R35,Y35)</f>
        <v>0.1864721624501206</v>
      </c>
      <c r="J35" s="3">
        <f>CHOOSE(SrcDispSelect,NseMeas!BN35,Q35,Z35)</f>
        <v>0.13295385089318446</v>
      </c>
      <c r="K35" s="3">
        <f>CHOOSE(SrcDispSelect,IF(UseUserCal,NseMeas!BP35,ABS(D35-C35)),P35,AB35)</f>
        <v>2.7228495945977975E-3</v>
      </c>
      <c r="L35" s="3">
        <f>CHOOSE(SrcDispSelect,NseMeas!BR35,S35,Z35)</f>
        <v>0</v>
      </c>
      <c r="N35" s="3">
        <f>NseMeas!CC35</f>
        <v>0.1864903342128944</v>
      </c>
      <c r="O35" s="3">
        <f>NseMeas!BW35</f>
        <v>0.1864721624501206</v>
      </c>
      <c r="P35" s="2">
        <f t="shared" si="0"/>
        <v>0</v>
      </c>
      <c r="Q35" s="3">
        <f>NseMeas!CA35</f>
        <v>2.6878157133072068E-3</v>
      </c>
      <c r="R35" s="3">
        <f>NseMeas!BU35</f>
        <v>0</v>
      </c>
      <c r="S35" s="3">
        <f>NseMeas!BY35</f>
        <v>0</v>
      </c>
      <c r="U35" s="3">
        <f>Calibration!AW35</f>
        <v>2.7228495945977975E-3</v>
      </c>
      <c r="V35" s="3">
        <f>Calibration!AY35</f>
        <v>1.9254102399697312E-5</v>
      </c>
      <c r="W35" s="3">
        <f>Calibration!BG35</f>
        <v>4.8044114357416495E-6</v>
      </c>
      <c r="X35" s="3">
        <f>Calibration!BC35</f>
        <v>8.6283421274542452E-6</v>
      </c>
      <c r="Y35" s="3">
        <f>Calibration!BE35</f>
        <v>2.6878157133072068E-3</v>
      </c>
      <c r="Z35" s="3">
        <f>Calibration!BA35</f>
        <v>0</v>
      </c>
      <c r="AA35" s="3">
        <f>Calibration!BI35</f>
        <v>2.1639098877057476E-5</v>
      </c>
    </row>
    <row r="36" spans="1:27">
      <c r="A36" s="2">
        <f>MIN(StopFreqGHz+0.000001,Result!A35+FreqStep)</f>
        <v>16.468000000000011</v>
      </c>
      <c r="B36" s="2">
        <f>DUT!AD37</f>
        <v>20</v>
      </c>
      <c r="C36" s="2">
        <f>DUT!AE37</f>
        <v>4</v>
      </c>
      <c r="D36" s="3">
        <f>10*LOG10((T_0+NseMeas!O36)/T_0)</f>
        <v>4.0000000000000027</v>
      </c>
      <c r="E36" s="3">
        <f>10*LOG10((T_0+NseMeas!BG36)/T_0)</f>
        <v>4.2293234675520015</v>
      </c>
      <c r="F36" s="3">
        <f>10*LOG10((T_0+NseMeas!BH36)/T_0)</f>
        <v>3.7578890467813526</v>
      </c>
      <c r="G36" s="3">
        <f>CHOOSE(SrcDispSelect,NseMeas!BF36+(IF(UseUserCal,0,K36)),N36,U36)</f>
        <v>0.22932346755199917</v>
      </c>
      <c r="H36" s="3">
        <f>CHOOSE(SrcDispSelect,NseMeas!BJ36,O36,AA36)</f>
        <v>3.0152223291925361E-2</v>
      </c>
      <c r="I36" s="3">
        <f>CHOOSE(SrcDispSelect,NseMeas!BL36,R36,Y36)</f>
        <v>0.1864723796962903</v>
      </c>
      <c r="J36" s="3">
        <f>CHOOSE(SrcDispSelect,NseMeas!BN36,Q36,Z36)</f>
        <v>0.13295400674022506</v>
      </c>
      <c r="K36" s="3">
        <f>CHOOSE(SrcDispSelect,IF(UseUserCal,NseMeas!BP36,ABS(D36-C36)),P36,AB36)</f>
        <v>2.7228487838358963E-3</v>
      </c>
      <c r="L36" s="3">
        <f>CHOOSE(SrcDispSelect,NseMeas!BR36,S36,Z36)</f>
        <v>0</v>
      </c>
      <c r="N36" s="3">
        <f>NseMeas!CC36</f>
        <v>0.1864905514365291</v>
      </c>
      <c r="O36" s="3">
        <f>NseMeas!BW36</f>
        <v>0.1864723796962903</v>
      </c>
      <c r="P36" s="2">
        <f t="shared" si="0"/>
        <v>0</v>
      </c>
      <c r="Q36" s="3">
        <f>NseMeas!CA36</f>
        <v>2.6878157133072068E-3</v>
      </c>
      <c r="R36" s="3">
        <f>NseMeas!BU36</f>
        <v>0</v>
      </c>
      <c r="S36" s="3">
        <f>NseMeas!BY36</f>
        <v>0</v>
      </c>
      <c r="U36" s="3">
        <f>Calibration!AW36</f>
        <v>2.7228487838358963E-3</v>
      </c>
      <c r="V36" s="3">
        <f>Calibration!AY36</f>
        <v>1.9178682539531572E-5</v>
      </c>
      <c r="W36" s="3">
        <f>Calibration!BG36</f>
        <v>4.7105321333706079E-6</v>
      </c>
      <c r="X36" s="3">
        <f>Calibration!BC36</f>
        <v>8.591905392060213E-6</v>
      </c>
      <c r="Y36" s="3">
        <f>Calibration!BE36</f>
        <v>2.6878157133072068E-3</v>
      </c>
      <c r="Z36" s="3">
        <f>Calibration!BA36</f>
        <v>0</v>
      </c>
      <c r="AA36" s="3">
        <f>Calibration!BI36</f>
        <v>2.1536743241336191E-5</v>
      </c>
    </row>
    <row r="37" spans="1:27">
      <c r="A37" s="2">
        <f>MIN(StopFreqGHz+0.000001,Result!A36+FreqStep)</f>
        <v>16.996000000000009</v>
      </c>
      <c r="B37" s="2">
        <f>DUT!AD38</f>
        <v>20</v>
      </c>
      <c r="C37" s="2">
        <f>DUT!AE38</f>
        <v>4</v>
      </c>
      <c r="D37" s="3">
        <f>10*LOG10((T_0+NseMeas!O37)/T_0)</f>
        <v>3.9999999999999991</v>
      </c>
      <c r="E37" s="3">
        <f>10*LOG10((T_0+NseMeas!BG37)/T_0)</f>
        <v>4.2293236088399153</v>
      </c>
      <c r="F37" s="3">
        <f>10*LOG10((T_0+NseMeas!BH37)/T_0)</f>
        <v>3.7578888892929823</v>
      </c>
      <c r="G37" s="3">
        <f>CHOOSE(SrcDispSelect,NseMeas!BF37+(IF(UseUserCal,0,K37)),N37,U37)</f>
        <v>0.22932360883991609</v>
      </c>
      <c r="H37" s="3">
        <f>CHOOSE(SrcDispSelect,NseMeas!BJ37,O37,AA37)</f>
        <v>3.015131062416284E-2</v>
      </c>
      <c r="I37" s="3">
        <f>CHOOSE(SrcDispSelect,NseMeas!BL37,R37,Y37)</f>
        <v>0.18647259018272325</v>
      </c>
      <c r="J37" s="3">
        <f>CHOOSE(SrcDispSelect,NseMeas!BN37,Q37,Z37)</f>
        <v>0.13295415773799929</v>
      </c>
      <c r="K37" s="3">
        <f>CHOOSE(SrcDispSelect,IF(UseUserCal,NseMeas!BP37,ABS(D37-C37)),P37,AB37)</f>
        <v>2.7228480023817766E-3</v>
      </c>
      <c r="L37" s="3">
        <f>CHOOSE(SrcDispSelect,NseMeas!BR37,S37,Z37)</f>
        <v>0</v>
      </c>
      <c r="N37" s="3">
        <f>NseMeas!CC37</f>
        <v>0.18649076190112779</v>
      </c>
      <c r="O37" s="3">
        <f>NseMeas!BW37</f>
        <v>0.18647259018272325</v>
      </c>
      <c r="P37" s="2">
        <f t="shared" si="0"/>
        <v>0</v>
      </c>
      <c r="Q37" s="3">
        <f>NseMeas!CA37</f>
        <v>2.6878157133072068E-3</v>
      </c>
      <c r="R37" s="3">
        <f>NseMeas!BU37</f>
        <v>0</v>
      </c>
      <c r="S37" s="3">
        <f>NseMeas!BY37</f>
        <v>0</v>
      </c>
      <c r="U37" s="3">
        <f>Calibration!AW37</f>
        <v>2.7228480023817766E-3</v>
      </c>
      <c r="V37" s="3">
        <f>Calibration!AY37</f>
        <v>1.9105609404910477E-5</v>
      </c>
      <c r="W37" s="3">
        <f>Calibration!BG37</f>
        <v>4.6189148157519196E-6</v>
      </c>
      <c r="X37" s="3">
        <f>Calibration!BC37</f>
        <v>8.5564937778325842E-6</v>
      </c>
      <c r="Y37" s="3">
        <f>Calibration!BE37</f>
        <v>2.6878157133072068E-3</v>
      </c>
      <c r="Z37" s="3">
        <f>Calibration!BA37</f>
        <v>0</v>
      </c>
      <c r="AA37" s="3">
        <f>Calibration!BI37</f>
        <v>2.1437625214472494E-5</v>
      </c>
    </row>
    <row r="38" spans="1:27">
      <c r="A38" s="2">
        <f>MIN(StopFreqGHz+0.000001,Result!A37+FreqStep)</f>
        <v>17.524000000000008</v>
      </c>
      <c r="B38" s="2">
        <f>DUT!AD39</f>
        <v>20</v>
      </c>
      <c r="C38" s="2">
        <f>DUT!AE39</f>
        <v>4</v>
      </c>
      <c r="D38" s="3">
        <f>10*LOG10((T_0+NseMeas!O38)/T_0)</f>
        <v>4</v>
      </c>
      <c r="E38" s="3">
        <f>10*LOG10((T_0+NseMeas!BG38)/T_0)</f>
        <v>4.2293237457364725</v>
      </c>
      <c r="F38" s="3">
        <f>10*LOG10((T_0+NseMeas!BH38)/T_0)</f>
        <v>3.757888736699492</v>
      </c>
      <c r="G38" s="3">
        <f>CHOOSE(SrcDispSelect,NseMeas!BF38+(IF(UseUserCal,0,K38)),N38,U38)</f>
        <v>0.2293237457364726</v>
      </c>
      <c r="H38" s="3">
        <f>CHOOSE(SrcDispSelect,NseMeas!BJ38,O38,AA38)</f>
        <v>3.0150426365844071E-2</v>
      </c>
      <c r="I38" s="3">
        <f>CHOOSE(SrcDispSelect,NseMeas!BL38,R38,Y38)</f>
        <v>0.18647279411975171</v>
      </c>
      <c r="J38" s="3">
        <f>CHOOSE(SrcDispSelect,NseMeas!BN38,Q38,Z38)</f>
        <v>0.13295430403739397</v>
      </c>
      <c r="K38" s="3">
        <f>CHOOSE(SrcDispSelect,IF(UseUserCal,NseMeas!BP38,ABS(D38-C38)),P38,AB38)</f>
        <v>2.7228472490741524E-3</v>
      </c>
      <c r="L38" s="3">
        <f>CHOOSE(SrcDispSelect,NseMeas!BR38,S38,Z38)</f>
        <v>0</v>
      </c>
      <c r="N38" s="3">
        <f>NseMeas!CC38</f>
        <v>0.18649096581700164</v>
      </c>
      <c r="O38" s="3">
        <f>NseMeas!BW38</f>
        <v>0.18647279411975171</v>
      </c>
      <c r="P38" s="2">
        <f t="shared" si="0"/>
        <v>0</v>
      </c>
      <c r="Q38" s="3">
        <f>NseMeas!CA38</f>
        <v>2.6878157133072068E-3</v>
      </c>
      <c r="R38" s="3">
        <f>NseMeas!BU38</f>
        <v>0</v>
      </c>
      <c r="S38" s="3">
        <f>NseMeas!BY38</f>
        <v>0</v>
      </c>
      <c r="U38" s="3">
        <f>Calibration!AW38</f>
        <v>2.7228472490741524E-3</v>
      </c>
      <c r="V38" s="3">
        <f>Calibration!AY38</f>
        <v>1.90348099793254E-5</v>
      </c>
      <c r="W38" s="3">
        <f>Calibration!BG38</f>
        <v>4.5294919261742026E-6</v>
      </c>
      <c r="X38" s="3">
        <f>Calibration!BC38</f>
        <v>8.5220807687361146E-6</v>
      </c>
      <c r="Y38" s="3">
        <f>Calibration!BE38</f>
        <v>2.6878157133072068E-3</v>
      </c>
      <c r="Z38" s="3">
        <f>Calibration!BA38</f>
        <v>0</v>
      </c>
      <c r="AA38" s="3">
        <f>Calibration!BI38</f>
        <v>2.1341641511937973E-5</v>
      </c>
    </row>
    <row r="39" spans="1:27">
      <c r="A39" s="2">
        <f>MIN(StopFreqGHz+0.000001,Result!A38+FreqStep)</f>
        <v>18.052000000000007</v>
      </c>
      <c r="B39" s="2">
        <f>DUT!AD40</f>
        <v>20</v>
      </c>
      <c r="C39" s="2">
        <f>DUT!AE40</f>
        <v>4</v>
      </c>
      <c r="D39" s="3">
        <f>10*LOG10((T_0+NseMeas!O39)/T_0)</f>
        <v>4.0000000000000009</v>
      </c>
      <c r="E39" s="3">
        <f>10*LOG10((T_0+NseMeas!BG39)/T_0)</f>
        <v>4.2293247720728218</v>
      </c>
      <c r="F39" s="3">
        <f>10*LOG10((T_0+NseMeas!BH39)/T_0)</f>
        <v>3.7578875926802766</v>
      </c>
      <c r="G39" s="3">
        <f>CHOOSE(SrcDispSelect,NseMeas!BF39+(IF(UseUserCal,0,K39)),N39,U39)</f>
        <v>0.22932477207282045</v>
      </c>
      <c r="H39" s="3">
        <f>CHOOSE(SrcDispSelect,NseMeas!BJ39,O39,AA39)</f>
        <v>3.0156850761163326E-2</v>
      </c>
      <c r="I39" s="3">
        <f>CHOOSE(SrcDispSelect,NseMeas!BL39,R39,Y39)</f>
        <v>0.18647299171116383</v>
      </c>
      <c r="J39" s="3">
        <f>CHOOSE(SrcDispSelect,NseMeas!BN39,Q39,Z39)</f>
        <v>0.13295444578460264</v>
      </c>
      <c r="K39" s="3">
        <f>CHOOSE(SrcDispSelect,IF(UseUserCal,NseMeas!BP39,ABS(D39-C39)),P39,AB39)</f>
        <v>2.722852584032041E-3</v>
      </c>
      <c r="L39" s="3">
        <f>CHOOSE(SrcDispSelect,NseMeas!BR39,S39,Z39)</f>
        <v>0</v>
      </c>
      <c r="N39" s="3">
        <f>NseMeas!CC39</f>
        <v>0.1864911633879176</v>
      </c>
      <c r="O39" s="3">
        <f>NseMeas!BW39</f>
        <v>0.18647299171116383</v>
      </c>
      <c r="P39" s="2">
        <f t="shared" si="0"/>
        <v>0</v>
      </c>
      <c r="Q39" s="3">
        <f>NseMeas!CA39</f>
        <v>2.6878157133072068E-3</v>
      </c>
      <c r="R39" s="3">
        <f>NseMeas!BU39</f>
        <v>0</v>
      </c>
      <c r="S39" s="3">
        <f>NseMeas!BY39</f>
        <v>0</v>
      </c>
      <c r="U39" s="3">
        <f>Calibration!AW39</f>
        <v>2.722852584032041E-3</v>
      </c>
      <c r="V39" s="3">
        <f>Calibration!AY39</f>
        <v>1.9533605778192678E-5</v>
      </c>
      <c r="W39" s="3">
        <f>Calibration!BG39</f>
        <v>5.1294188997578036E-6</v>
      </c>
      <c r="X39" s="3">
        <f>Calibration!BC39</f>
        <v>8.7563247106143221E-6</v>
      </c>
      <c r="Y39" s="3">
        <f>Calibration!BE39</f>
        <v>2.6878157133072068E-3</v>
      </c>
      <c r="Z39" s="3">
        <f>Calibration!BA39</f>
        <v>0</v>
      </c>
      <c r="AA39" s="3">
        <f>Calibration!BI39</f>
        <v>2.2012391084299743E-5</v>
      </c>
    </row>
    <row r="40" spans="1:27">
      <c r="A40" s="2">
        <f>MIN(StopFreqGHz+0.000001,Result!A39+FreqStep)</f>
        <v>18.580000000000005</v>
      </c>
      <c r="B40" s="2">
        <f>DUT!AD41</f>
        <v>20</v>
      </c>
      <c r="C40" s="2">
        <f>DUT!AE41</f>
        <v>4</v>
      </c>
      <c r="D40" s="3">
        <f>10*LOG10((T_0+NseMeas!O40)/T_0)</f>
        <v>3.9999999999999991</v>
      </c>
      <c r="E40" s="3">
        <f>10*LOG10((T_0+NseMeas!BG40)/T_0)</f>
        <v>4.2293316860634409</v>
      </c>
      <c r="F40" s="3">
        <f>10*LOG10((T_0+NseMeas!BH40)/T_0)</f>
        <v>3.757879885895425</v>
      </c>
      <c r="G40" s="3">
        <f>CHOOSE(SrcDispSelect,NseMeas!BF40+(IF(UseUserCal,0,K40)),N40,U40)</f>
        <v>0.22933168606344012</v>
      </c>
      <c r="H40" s="3">
        <f>CHOOSE(SrcDispSelect,NseMeas!BJ40,O40,AA40)</f>
        <v>3.021124934808413E-2</v>
      </c>
      <c r="I40" s="3">
        <f>CHOOSE(SrcDispSelect,NseMeas!BL40,R40,Y40)</f>
        <v>0.18647318315440853</v>
      </c>
      <c r="J40" s="3">
        <f>CHOOSE(SrcDispSelect,NseMeas!BN40,Q40,Z40)</f>
        <v>0.1329545831212689</v>
      </c>
      <c r="K40" s="3">
        <f>CHOOSE(SrcDispSelect,IF(UseUserCal,NseMeas!BP40,ABS(D40-C40)),P40,AB40)</f>
        <v>2.7228869153745755E-3</v>
      </c>
      <c r="L40" s="3">
        <f>CHOOSE(SrcDispSelect,NseMeas!BR40,S40,Z40)</f>
        <v>0</v>
      </c>
      <c r="N40" s="3">
        <f>NseMeas!CC40</f>
        <v>0.18649135481130427</v>
      </c>
      <c r="O40" s="3">
        <f>NseMeas!BW40</f>
        <v>0.18647318315440853</v>
      </c>
      <c r="P40" s="2">
        <f t="shared" si="0"/>
        <v>0</v>
      </c>
      <c r="Q40" s="3">
        <f>NseMeas!CA40</f>
        <v>2.6878157133072068E-3</v>
      </c>
      <c r="R40" s="3">
        <f>NseMeas!BU40</f>
        <v>0</v>
      </c>
      <c r="S40" s="3">
        <f>NseMeas!BY40</f>
        <v>0</v>
      </c>
      <c r="U40" s="3">
        <f>Calibration!AW40</f>
        <v>2.7228869153745755E-3</v>
      </c>
      <c r="V40" s="3">
        <f>Calibration!AY40</f>
        <v>2.3771651045108744E-5</v>
      </c>
      <c r="W40" s="3">
        <f>Calibration!BG40</f>
        <v>5.0925962752542347E-6</v>
      </c>
      <c r="X40" s="3">
        <f>Calibration!BC40</f>
        <v>8.9807603032317111E-6</v>
      </c>
      <c r="Y40" s="3">
        <f>Calibration!BE40</f>
        <v>2.6878157133072068E-3</v>
      </c>
      <c r="Z40" s="3">
        <f>Calibration!BA40</f>
        <v>0</v>
      </c>
      <c r="AA40" s="3">
        <f>Calibration!BI40</f>
        <v>2.591677579963087E-5</v>
      </c>
    </row>
    <row r="41" spans="1:27">
      <c r="A41" s="2">
        <f>MIN(StopFreqGHz+0.000001,Result!A40+FreqStep)</f>
        <v>19.108000000000004</v>
      </c>
      <c r="B41" s="2">
        <f>DUT!AD42</f>
        <v>20</v>
      </c>
      <c r="C41" s="2">
        <f>DUT!AE42</f>
        <v>4</v>
      </c>
      <c r="D41" s="3">
        <f>10*LOG10((T_0+NseMeas!O41)/T_0)</f>
        <v>3.9999999999999991</v>
      </c>
      <c r="E41" s="3">
        <f>10*LOG10((T_0+NseMeas!BG41)/T_0)</f>
        <v>4.2293317833416291</v>
      </c>
      <c r="F41" s="3">
        <f>10*LOG10((T_0+NseMeas!BH41)/T_0)</f>
        <v>3.7578797774626258</v>
      </c>
      <c r="G41" s="3">
        <f>CHOOSE(SrcDispSelect,NseMeas!BF41+(IF(UseUserCal,0,K41)),N41,U41)</f>
        <v>0.2293317833416306</v>
      </c>
      <c r="H41" s="3">
        <f>CHOOSE(SrcDispSelect,NseMeas!BJ41,O41,AA41)</f>
        <v>3.0210225292785321E-2</v>
      </c>
      <c r="I41" s="3">
        <f>CHOOSE(SrcDispSelect,NseMeas!BL41,R41,Y41)</f>
        <v>0.18647336864079048</v>
      </c>
      <c r="J41" s="3">
        <f>CHOOSE(SrcDispSelect,NseMeas!BN41,Q41,Z41)</f>
        <v>0.13295471618462937</v>
      </c>
      <c r="K41" s="3">
        <f>CHOOSE(SrcDispSelect,IF(UseUserCal,NseMeas!BP41,ABS(D41-C41)),P41,AB41)</f>
        <v>2.7228858922196844E-3</v>
      </c>
      <c r="L41" s="3">
        <f>CHOOSE(SrcDispSelect,NseMeas!BR41,S41,Z41)</f>
        <v>0</v>
      </c>
      <c r="N41" s="3">
        <f>NseMeas!CC41</f>
        <v>0.18649154027844533</v>
      </c>
      <c r="O41" s="3">
        <f>NseMeas!BW41</f>
        <v>0.18647336864079048</v>
      </c>
      <c r="P41" s="2">
        <f t="shared" si="0"/>
        <v>0</v>
      </c>
      <c r="Q41" s="3">
        <f>NseMeas!CA41</f>
        <v>2.6878157133072068E-3</v>
      </c>
      <c r="R41" s="3">
        <f>NseMeas!BU41</f>
        <v>0</v>
      </c>
      <c r="S41" s="3">
        <f>NseMeas!BY41</f>
        <v>0</v>
      </c>
      <c r="U41" s="3">
        <f>Calibration!AW41</f>
        <v>2.7228858922196844E-3</v>
      </c>
      <c r="V41" s="3">
        <f>Calibration!AY41</f>
        <v>2.3690151713336096E-5</v>
      </c>
      <c r="W41" s="3">
        <f>Calibration!BG41</f>
        <v>4.9925261620483782E-6</v>
      </c>
      <c r="X41" s="3">
        <f>Calibration!BC41</f>
        <v>8.941717119560487E-6</v>
      </c>
      <c r="Y41" s="3">
        <f>Calibration!BE41</f>
        <v>2.6878157133072068E-3</v>
      </c>
      <c r="Z41" s="3">
        <f>Calibration!BA41</f>
        <v>0</v>
      </c>
      <c r="AA41" s="3">
        <f>Calibration!BI41</f>
        <v>2.580895594429317E-5</v>
      </c>
    </row>
    <row r="42" spans="1:27">
      <c r="A42" s="2">
        <f>MIN(StopFreqGHz+0.000001,Result!A41+FreqStep)</f>
        <v>19.636000000000003</v>
      </c>
      <c r="B42" s="2">
        <f>DUT!AD43</f>
        <v>20</v>
      </c>
      <c r="C42" s="2">
        <f>DUT!AE43</f>
        <v>4</v>
      </c>
      <c r="D42" s="3">
        <f>10*LOG10((T_0+NseMeas!O42)/T_0)</f>
        <v>4.0000000000000027</v>
      </c>
      <c r="E42" s="3">
        <f>10*LOG10((T_0+NseMeas!BG42)/T_0)</f>
        <v>4.2293318775990443</v>
      </c>
      <c r="F42" s="3">
        <f>10*LOG10((T_0+NseMeas!BH42)/T_0)</f>
        <v>3.7578796723969883</v>
      </c>
      <c r="G42" s="3">
        <f>CHOOSE(SrcDispSelect,NseMeas!BF42+(IF(UseUserCal,0,K42)),N42,U42)</f>
        <v>0.22933187759904103</v>
      </c>
      <c r="H42" s="3">
        <f>CHOOSE(SrcDispSelect,NseMeas!BJ42,O42,AA42)</f>
        <v>3.0209233115673376E-2</v>
      </c>
      <c r="I42" s="3">
        <f>CHOOSE(SrcDispSelect,NseMeas!BL42,R42,Y42)</f>
        <v>0.18647354835565952</v>
      </c>
      <c r="J42" s="3">
        <f>CHOOSE(SrcDispSelect,NseMeas!BN42,Q42,Z42)</f>
        <v>0.13295484510765121</v>
      </c>
      <c r="K42" s="3">
        <f>CHOOSE(SrcDispSelect,IF(UseUserCal,NseMeas!BP42,ABS(D42-C42)),P42,AB42)</f>
        <v>2.7228849056419382E-3</v>
      </c>
      <c r="L42" s="3">
        <f>CHOOSE(SrcDispSelect,NseMeas!BR42,S42,Z42)</f>
        <v>0</v>
      </c>
      <c r="N42" s="3">
        <f>NseMeas!CC42</f>
        <v>0.18649171997467218</v>
      </c>
      <c r="O42" s="3">
        <f>NseMeas!BW42</f>
        <v>0.18647354835565952</v>
      </c>
      <c r="P42" s="2">
        <f t="shared" si="0"/>
        <v>0</v>
      </c>
      <c r="Q42" s="3">
        <f>NseMeas!CA42</f>
        <v>2.6878157133072068E-3</v>
      </c>
      <c r="R42" s="3">
        <f>NseMeas!BU42</f>
        <v>0</v>
      </c>
      <c r="S42" s="3">
        <f>NseMeas!BY42</f>
        <v>0</v>
      </c>
      <c r="U42" s="3">
        <f>Calibration!AW42</f>
        <v>2.7228849056419382E-3</v>
      </c>
      <c r="V42" s="3">
        <f>Calibration!AY42</f>
        <v>2.3611188273615944E-5</v>
      </c>
      <c r="W42" s="3">
        <f>Calibration!BG42</f>
        <v>4.8948841760023849E-6</v>
      </c>
      <c r="X42" s="3">
        <f>Calibration!BC42</f>
        <v>8.9037694391885885E-6</v>
      </c>
      <c r="Y42" s="3">
        <f>Calibration!BE42</f>
        <v>2.6878157133072068E-3</v>
      </c>
      <c r="Z42" s="3">
        <f>Calibration!BA42</f>
        <v>0</v>
      </c>
      <c r="AA42" s="3">
        <f>Calibration!BI42</f>
        <v>2.5704562295453116E-5</v>
      </c>
    </row>
    <row r="43" spans="1:27">
      <c r="A43" s="2">
        <f>MIN(StopFreqGHz+0.000001,Result!A42+FreqStep)</f>
        <v>20.164000000000001</v>
      </c>
      <c r="B43" s="2">
        <f>DUT!AD44</f>
        <v>20</v>
      </c>
      <c r="C43" s="2">
        <f>DUT!AE44</f>
        <v>4</v>
      </c>
      <c r="D43" s="3">
        <f>10*LOG10((T_0+NseMeas!O43)/T_0)</f>
        <v>4</v>
      </c>
      <c r="E43" s="3">
        <f>10*LOG10((T_0+NseMeas!BG43)/T_0)</f>
        <v>4.2293319689292943</v>
      </c>
      <c r="F43" s="3">
        <f>10*LOG10((T_0+NseMeas!BH43)/T_0)</f>
        <v>3.7578795705941466</v>
      </c>
      <c r="G43" s="3">
        <f>CHOOSE(SrcDispSelect,NseMeas!BF43+(IF(UseUserCal,0,K43)),N43,U43)</f>
        <v>0.22933196892929389</v>
      </c>
      <c r="H43" s="3">
        <f>CHOOSE(SrcDispSelect,NseMeas!BJ43,O43,AA43)</f>
        <v>3.0208271823975733E-2</v>
      </c>
      <c r="I43" s="3">
        <f>CHOOSE(SrcDispSelect,NseMeas!BL43,R43,Y43)</f>
        <v>0.18647372247859992</v>
      </c>
      <c r="J43" s="3">
        <f>CHOOSE(SrcDispSelect,NseMeas!BN43,Q43,Z43)</f>
        <v>0.13295497001916212</v>
      </c>
      <c r="K43" s="3">
        <f>CHOOSE(SrcDispSelect,IF(UseUserCal,NseMeas!BP43,ABS(D43-C43)),P43,AB43)</f>
        <v>2.7228839542121352E-3</v>
      </c>
      <c r="L43" s="3">
        <f>CHOOSE(SrcDispSelect,NseMeas!BR43,S43,Z43)</f>
        <v>0</v>
      </c>
      <c r="N43" s="3">
        <f>NseMeas!CC43</f>
        <v>0.18649189407955086</v>
      </c>
      <c r="O43" s="3">
        <f>NseMeas!BW43</f>
        <v>0.18647372247859992</v>
      </c>
      <c r="P43" s="2">
        <f t="shared" si="0"/>
        <v>0</v>
      </c>
      <c r="Q43" s="3">
        <f>NseMeas!CA43</f>
        <v>2.6878157133072068E-3</v>
      </c>
      <c r="R43" s="3">
        <f>NseMeas!BU43</f>
        <v>0</v>
      </c>
      <c r="S43" s="3">
        <f>NseMeas!BY43</f>
        <v>0</v>
      </c>
      <c r="U43" s="3">
        <f>Calibration!AW43</f>
        <v>2.7228839542121352E-3</v>
      </c>
      <c r="V43" s="3">
        <f>Calibration!AY43</f>
        <v>2.3534681820419252E-5</v>
      </c>
      <c r="W43" s="3">
        <f>Calibration!BG43</f>
        <v>4.7995974797783221E-6</v>
      </c>
      <c r="X43" s="3">
        <f>Calibration!BC43</f>
        <v>8.8668890479093216E-6</v>
      </c>
      <c r="Y43" s="3">
        <f>Calibration!BE43</f>
        <v>2.6878157133072068E-3</v>
      </c>
      <c r="Z43" s="3">
        <f>Calibration!BA43</f>
        <v>0</v>
      </c>
      <c r="AA43" s="3">
        <f>Calibration!BI43</f>
        <v>2.5603484695987724E-5</v>
      </c>
    </row>
    <row r="44" spans="1:27">
      <c r="A44" s="2">
        <f>MIN(StopFreqGHz+0.000001,Result!A43+FreqStep)</f>
        <v>20.692</v>
      </c>
      <c r="B44" s="2">
        <f>DUT!AD45</f>
        <v>20</v>
      </c>
      <c r="C44" s="2">
        <f>DUT!AE45</f>
        <v>4</v>
      </c>
      <c r="D44" s="3">
        <f>10*LOG10((T_0+NseMeas!O44)/T_0)</f>
        <v>4</v>
      </c>
      <c r="E44" s="3">
        <f>10*LOG10((T_0+NseMeas!BG44)/T_0)</f>
        <v>4.2293320574231181</v>
      </c>
      <c r="F44" s="3">
        <f>10*LOG10((T_0+NseMeas!BH44)/T_0)</f>
        <v>3.7578794719529758</v>
      </c>
      <c r="G44" s="3">
        <f>CHOOSE(SrcDispSelect,NseMeas!BF44+(IF(UseUserCal,0,K44)),N44,U44)</f>
        <v>0.22933205742311838</v>
      </c>
      <c r="H44" s="3">
        <f>CHOOSE(SrcDispSelect,NseMeas!BJ44,O44,AA44)</f>
        <v>3.0207340455860706E-2</v>
      </c>
      <c r="I44" s="3">
        <f>CHOOSE(SrcDispSelect,NseMeas!BL44,R44,Y44)</f>
        <v>0.18647389118360702</v>
      </c>
      <c r="J44" s="3">
        <f>CHOOSE(SrcDispSelect,NseMeas!BN44,Q44,Z44)</f>
        <v>0.1329550910439832</v>
      </c>
      <c r="K44" s="3">
        <f>CHOOSE(SrcDispSelect,IF(UseUserCal,NseMeas!BP44,ABS(D44-C44)),P44,AB44)</f>
        <v>2.7228830365656439E-3</v>
      </c>
      <c r="L44" s="3">
        <f>CHOOSE(SrcDispSelect,NseMeas!BR44,S44,Z44)</f>
        <v>0</v>
      </c>
      <c r="N44" s="3">
        <f>NseMeas!CC44</f>
        <v>0.18649206276705849</v>
      </c>
      <c r="O44" s="3">
        <f>NseMeas!BW44</f>
        <v>0.18647389118360702</v>
      </c>
      <c r="P44" s="2">
        <f t="shared" si="0"/>
        <v>0</v>
      </c>
      <c r="Q44" s="3">
        <f>NseMeas!CA44</f>
        <v>2.6878157133072068E-3</v>
      </c>
      <c r="R44" s="3">
        <f>NseMeas!BU44</f>
        <v>0</v>
      </c>
      <c r="S44" s="3">
        <f>NseMeas!BY44</f>
        <v>0</v>
      </c>
      <c r="U44" s="3">
        <f>Calibration!AW44</f>
        <v>2.7228830365656439E-3</v>
      </c>
      <c r="V44" s="3">
        <f>Calibration!AY44</f>
        <v>2.346055590433596E-5</v>
      </c>
      <c r="W44" s="3">
        <f>Calibration!BG44</f>
        <v>4.7065956767381239E-6</v>
      </c>
      <c r="X44" s="3">
        <f>Calibration!BC44</f>
        <v>8.831048350611203E-6</v>
      </c>
      <c r="Y44" s="3">
        <f>Calibration!BE44</f>
        <v>2.6878157133072068E-3</v>
      </c>
      <c r="Z44" s="3">
        <f>Calibration!BA44</f>
        <v>0</v>
      </c>
      <c r="AA44" s="3">
        <f>Calibration!BI44</f>
        <v>2.5505616567354193E-5</v>
      </c>
    </row>
    <row r="45" spans="1:27">
      <c r="A45" s="2">
        <f>MIN(StopFreqGHz+0.000001,Result!A44+FreqStep)</f>
        <v>21.22</v>
      </c>
      <c r="B45" s="2">
        <f>DUT!AD46</f>
        <v>20</v>
      </c>
      <c r="C45" s="2">
        <f>DUT!AE46</f>
        <v>4</v>
      </c>
      <c r="D45" s="3">
        <f>10*LOG10((T_0+NseMeas!O45)/T_0)</f>
        <v>4.0000000000000018</v>
      </c>
      <c r="E45" s="3">
        <f>10*LOG10((T_0+NseMeas!BG45)/T_0)</f>
        <v>4.2293321431684445</v>
      </c>
      <c r="F45" s="3">
        <f>10*LOG10((T_0+NseMeas!BH45)/T_0)</f>
        <v>3.757879376375465</v>
      </c>
      <c r="G45" s="3">
        <f>CHOOSE(SrcDispSelect,NseMeas!BF45+(IF(UseUserCal,0,K45)),N45,U45)</f>
        <v>0.22933214316844366</v>
      </c>
      <c r="H45" s="3">
        <f>CHOOSE(SrcDispSelect,NseMeas!BJ45,O45,AA45)</f>
        <v>3.0206438079477045E-2</v>
      </c>
      <c r="I45" s="3">
        <f>CHOOSE(SrcDispSelect,NseMeas!BL45,R45,Y45)</f>
        <v>0.18647405463926545</v>
      </c>
      <c r="J45" s="3">
        <f>CHOOSE(SrcDispSelect,NseMeas!BN45,Q45,Z45)</f>
        <v>0.13295520830305133</v>
      </c>
      <c r="K45" s="3">
        <f>CHOOSE(SrcDispSelect,IF(UseUserCal,NseMeas!BP45,ABS(D45-C45)),P45,AB45)</f>
        <v>2.7228821513927645E-3</v>
      </c>
      <c r="L45" s="3">
        <f>CHOOSE(SrcDispSelect,NseMeas!BR45,S45,Z45)</f>
        <v>0</v>
      </c>
      <c r="N45" s="3">
        <f>NseMeas!CC45</f>
        <v>0.18649222620576122</v>
      </c>
      <c r="O45" s="3">
        <f>NseMeas!BW45</f>
        <v>0.18647405463926545</v>
      </c>
      <c r="P45" s="2">
        <f t="shared" si="0"/>
        <v>0</v>
      </c>
      <c r="Q45" s="3">
        <f>NseMeas!CA45</f>
        <v>2.6878157133072068E-3</v>
      </c>
      <c r="R45" s="3">
        <f>NseMeas!BU45</f>
        <v>0</v>
      </c>
      <c r="S45" s="3">
        <f>NseMeas!BY45</f>
        <v>0</v>
      </c>
      <c r="U45" s="3">
        <f>Calibration!AW45</f>
        <v>2.7228821513927645E-3</v>
      </c>
      <c r="V45" s="3">
        <f>Calibration!AY45</f>
        <v>2.3388736453965509E-5</v>
      </c>
      <c r="W45" s="3">
        <f>Calibration!BG45</f>
        <v>4.6158107395840818E-6</v>
      </c>
      <c r="X45" s="3">
        <f>Calibration!BC45</f>
        <v>8.7962203693494149E-6</v>
      </c>
      <c r="Y45" s="3">
        <f>Calibration!BE45</f>
        <v>2.6878157133072068E-3</v>
      </c>
      <c r="Z45" s="3">
        <f>Calibration!BA45</f>
        <v>0</v>
      </c>
      <c r="AA45" s="3">
        <f>Calibration!BI45</f>
        <v>2.541085480158709E-5</v>
      </c>
    </row>
    <row r="46" spans="1:27">
      <c r="A46" s="2">
        <f>MIN(StopFreqGHz+0.000001,Result!A45+FreqStep)</f>
        <v>21.747999999999998</v>
      </c>
      <c r="B46" s="2">
        <f>DUT!AD47</f>
        <v>20</v>
      </c>
      <c r="C46" s="2">
        <f>DUT!AE47</f>
        <v>4</v>
      </c>
      <c r="D46" s="3">
        <f>10*LOG10((T_0+NseMeas!O46)/T_0)</f>
        <v>4.0000000000000027</v>
      </c>
      <c r="E46" s="3">
        <f>10*LOG10((T_0+NseMeas!BG46)/T_0)</f>
        <v>4.2293322262504853</v>
      </c>
      <c r="F46" s="3">
        <f>10*LOG10((T_0+NseMeas!BH46)/T_0)</f>
        <v>3.7578792837666306</v>
      </c>
      <c r="G46" s="3">
        <f>CHOOSE(SrcDispSelect,NseMeas!BF46+(IF(UseUserCal,0,K46)),N46,U46)</f>
        <v>0.22933222625048222</v>
      </c>
      <c r="H46" s="3">
        <f>CHOOSE(SrcDispSelect,NseMeas!BJ46,O46,AA46)</f>
        <v>3.0205563792016506E-2</v>
      </c>
      <c r="I46" s="3">
        <f>CHOOSE(SrcDispSelect,NseMeas!BL46,R46,Y46)</f>
        <v>0.18647421300890973</v>
      </c>
      <c r="J46" s="3">
        <f>CHOOSE(SrcDispSelect,NseMeas!BN46,Q46,Z46)</f>
        <v>0.13295532191353904</v>
      </c>
      <c r="K46" s="3">
        <f>CHOOSE(SrcDispSelect,IF(UseUserCal,NseMeas!BP46,ABS(D46-C46)),P46,AB46)</f>
        <v>2.7228812974445116E-3</v>
      </c>
      <c r="L46" s="3">
        <f>CHOOSE(SrcDispSelect,NseMeas!BR46,S46,Z46)</f>
        <v>0</v>
      </c>
      <c r="N46" s="3">
        <f>NseMeas!CC46</f>
        <v>0.18649238455897921</v>
      </c>
      <c r="O46" s="3">
        <f>NseMeas!BW46</f>
        <v>0.18647421300890973</v>
      </c>
      <c r="P46" s="2">
        <f t="shared" si="0"/>
        <v>0</v>
      </c>
      <c r="Q46" s="3">
        <f>NseMeas!CA46</f>
        <v>2.6878157133072068E-3</v>
      </c>
      <c r="R46" s="3">
        <f>NseMeas!BU46</f>
        <v>0</v>
      </c>
      <c r="S46" s="3">
        <f>NseMeas!BY46</f>
        <v>0</v>
      </c>
      <c r="U46" s="3">
        <f>Calibration!AW46</f>
        <v>2.7228812974445116E-3</v>
      </c>
      <c r="V46" s="3">
        <f>Calibration!AY46</f>
        <v>2.3319151700700319E-5</v>
      </c>
      <c r="W46" s="3">
        <f>Calibration!BG46</f>
        <v>4.5271769197127616E-6</v>
      </c>
      <c r="X46" s="3">
        <f>Calibration!BC46</f>
        <v>8.7623787221307165E-6</v>
      </c>
      <c r="Y46" s="3">
        <f>Calibration!BE46</f>
        <v>2.6878157133072068E-3</v>
      </c>
      <c r="Z46" s="3">
        <f>Calibration!BA46</f>
        <v>0</v>
      </c>
      <c r="AA46" s="3">
        <f>Calibration!BI46</f>
        <v>2.5319099638830613E-5</v>
      </c>
    </row>
    <row r="47" spans="1:27">
      <c r="A47" s="2">
        <f>MIN(StopFreqGHz+0.000001,Result!A46+FreqStep)</f>
        <v>22.275999999999996</v>
      </c>
      <c r="B47" s="2">
        <f>DUT!AD48</f>
        <v>20</v>
      </c>
      <c r="C47" s="2">
        <f>DUT!AE48</f>
        <v>4</v>
      </c>
      <c r="D47" s="3">
        <f>10*LOG10((T_0+NseMeas!O47)/T_0)</f>
        <v>4.0000000000000018</v>
      </c>
      <c r="E47" s="3">
        <f>10*LOG10((T_0+NseMeas!BG47)/T_0)</f>
        <v>4.2293342848803297</v>
      </c>
      <c r="F47" s="3">
        <f>10*LOG10((T_0+NseMeas!BH47)/T_0)</f>
        <v>3.7578769890779302</v>
      </c>
      <c r="G47" s="3">
        <f>CHOOSE(SrcDispSelect,NseMeas!BF47+(IF(UseUserCal,0,K47)),N47,U47)</f>
        <v>0.22933428488032845</v>
      </c>
      <c r="H47" s="3">
        <f>CHOOSE(SrcDispSelect,NseMeas!BJ47,O47,AA47)</f>
        <v>3.0220801341697433E-2</v>
      </c>
      <c r="I47" s="3">
        <f>CHOOSE(SrcDispSelect,NseMeas!BL47,R47,Y47)</f>
        <v>0.18647436645079629</v>
      </c>
      <c r="J47" s="3">
        <f>CHOOSE(SrcDispSelect,NseMeas!BN47,Q47,Z47)</f>
        <v>0.132955431988976</v>
      </c>
      <c r="K47" s="3">
        <f>CHOOSE(SrcDispSelect,IF(UseUserCal,NseMeas!BP47,ABS(D47-C47)),P47,AB47)</f>
        <v>2.7228962425513035E-3</v>
      </c>
      <c r="L47" s="3">
        <f>CHOOSE(SrcDispSelect,NseMeas!BR47,S47,Z47)</f>
        <v>0</v>
      </c>
      <c r="N47" s="3">
        <f>NseMeas!CC47</f>
        <v>0.18649253798494791</v>
      </c>
      <c r="O47" s="3">
        <f>NseMeas!BW47</f>
        <v>0.18647436645079629</v>
      </c>
      <c r="P47" s="2">
        <f t="shared" si="0"/>
        <v>0</v>
      </c>
      <c r="Q47" s="3">
        <f>NseMeas!CA47</f>
        <v>2.6878157133072068E-3</v>
      </c>
      <c r="R47" s="3">
        <f>NseMeas!BU47</f>
        <v>0</v>
      </c>
      <c r="S47" s="3">
        <f>NseMeas!BY47</f>
        <v>0</v>
      </c>
      <c r="U47" s="3">
        <f>Calibration!AW47</f>
        <v>2.7228962425513035E-3</v>
      </c>
      <c r="V47" s="3">
        <f>Calibration!AY47</f>
        <v>2.4504760297076193E-5</v>
      </c>
      <c r="W47" s="3">
        <f>Calibration!BG47</f>
        <v>5.9368216414580319E-6</v>
      </c>
      <c r="X47" s="3">
        <f>Calibration!BC47</f>
        <v>9.3162278712917993E-6</v>
      </c>
      <c r="Y47" s="3">
        <f>Calibration!BE47</f>
        <v>2.6878157133072068E-3</v>
      </c>
      <c r="Z47" s="3">
        <f>Calibration!BA47</f>
        <v>0</v>
      </c>
      <c r="AA47" s="3">
        <f>Calibration!BI47</f>
        <v>2.6879739225133205E-5</v>
      </c>
    </row>
    <row r="48" spans="1:27">
      <c r="A48" s="2">
        <f>MIN(StopFreqGHz+0.000001,Result!A47+FreqStep)</f>
        <v>22.803999999999995</v>
      </c>
      <c r="B48" s="2">
        <f>DUT!AD49</f>
        <v>20</v>
      </c>
      <c r="C48" s="2">
        <f>DUT!AE49</f>
        <v>4</v>
      </c>
      <c r="D48" s="3">
        <f>10*LOG10((T_0+NseMeas!O48)/T_0)</f>
        <v>4.0000000000000018</v>
      </c>
      <c r="E48" s="3">
        <f>10*LOG10((T_0+NseMeas!BG48)/T_0)</f>
        <v>4.2293343012315257</v>
      </c>
      <c r="F48" s="3">
        <f>10*LOG10((T_0+NseMeas!BH48)/T_0)</f>
        <v>3.7578769708517665</v>
      </c>
      <c r="G48" s="3">
        <f>CHOOSE(SrcDispSelect,NseMeas!BF48+(IF(UseUserCal,0,K48)),N48,U48)</f>
        <v>0.22933430123152448</v>
      </c>
      <c r="H48" s="3">
        <f>CHOOSE(SrcDispSelect,NseMeas!BJ48,O48,AA48)</f>
        <v>3.0219479917646432E-2</v>
      </c>
      <c r="I48" s="3">
        <f>CHOOSE(SrcDispSelect,NseMeas!BL48,R48,Y48)</f>
        <v>0.18647451511825214</v>
      </c>
      <c r="J48" s="3">
        <f>CHOOSE(SrcDispSelect,NseMeas!BN48,Q48,Z48)</f>
        <v>0.13295553863935478</v>
      </c>
      <c r="K48" s="3">
        <f>CHOOSE(SrcDispSelect,IF(UseUserCal,NseMeas!BP48,ABS(D48-C48)),P48,AB48)</f>
        <v>2.7228948807219685E-3</v>
      </c>
      <c r="L48" s="3">
        <f>CHOOSE(SrcDispSelect,NseMeas!BR48,S48,Z48)</f>
        <v>0</v>
      </c>
      <c r="N48" s="3">
        <f>NseMeas!CC48</f>
        <v>0.18649268663698343</v>
      </c>
      <c r="O48" s="3">
        <f>NseMeas!BW48</f>
        <v>0.18647451511825214</v>
      </c>
      <c r="P48" s="2">
        <f t="shared" si="0"/>
        <v>0</v>
      </c>
      <c r="Q48" s="3">
        <f>NseMeas!CA48</f>
        <v>2.6878157133072068E-3</v>
      </c>
      <c r="R48" s="3">
        <f>NseMeas!BU48</f>
        <v>0</v>
      </c>
      <c r="S48" s="3">
        <f>NseMeas!BY48</f>
        <v>0</v>
      </c>
      <c r="U48" s="3">
        <f>Calibration!AW48</f>
        <v>2.7228948807219685E-3</v>
      </c>
      <c r="V48" s="3">
        <f>Calibration!AY48</f>
        <v>2.4400449905381833E-5</v>
      </c>
      <c r="W48" s="3">
        <f>Calibration!BG48</f>
        <v>5.815732511023633E-6</v>
      </c>
      <c r="X48" s="3">
        <f>Calibration!BC48</f>
        <v>9.2678671307161789E-6</v>
      </c>
      <c r="Y48" s="3">
        <f>Calibration!BE48</f>
        <v>2.6878157133072068E-3</v>
      </c>
      <c r="Z48" s="3">
        <f>Calibration!BA48</f>
        <v>0</v>
      </c>
      <c r="AA48" s="3">
        <f>Calibration!BI48</f>
        <v>2.6741301985656117E-5</v>
      </c>
    </row>
    <row r="49" spans="1:27">
      <c r="A49" s="2">
        <f>MIN(StopFreqGHz+0.000001,Result!A48+FreqStep)</f>
        <v>23.331999999999994</v>
      </c>
      <c r="B49" s="2">
        <f>DUT!AD50</f>
        <v>20</v>
      </c>
      <c r="C49" s="2">
        <f>DUT!AE50</f>
        <v>4</v>
      </c>
      <c r="D49" s="3">
        <f>10*LOG10((T_0+NseMeas!O49)/T_0)</f>
        <v>4.0000000000000018</v>
      </c>
      <c r="E49" s="3">
        <f>10*LOG10((T_0+NseMeas!BG49)/T_0)</f>
        <v>4.2293343170839153</v>
      </c>
      <c r="F49" s="3">
        <f>10*LOG10((T_0+NseMeas!BH49)/T_0)</f>
        <v>3.7578769531816065</v>
      </c>
      <c r="G49" s="3">
        <f>CHOOSE(SrcDispSelect,NseMeas!BF49+(IF(UseUserCal,0,K49)),N49,U49)</f>
        <v>0.22933431708391475</v>
      </c>
      <c r="H49" s="3">
        <f>CHOOSE(SrcDispSelect,NseMeas!BJ49,O49,AA49)</f>
        <v>3.0218199633953252E-2</v>
      </c>
      <c r="I49" s="3">
        <f>CHOOSE(SrcDispSelect,NseMeas!BL49,R49,Y49)</f>
        <v>0.18647465915983927</v>
      </c>
      <c r="J49" s="3">
        <f>CHOOSE(SrcDispSelect,NseMeas!BN49,Q49,Z49)</f>
        <v>0.13295564197125045</v>
      </c>
      <c r="K49" s="3">
        <f>CHOOSE(SrcDispSelect,IF(UseUserCal,NseMeas!BP49,ABS(D49-C49)),P49,AB49)</f>
        <v>2.7228935689753929E-3</v>
      </c>
      <c r="L49" s="3">
        <f>CHOOSE(SrcDispSelect,NseMeas!BR49,S49,Z49)</f>
        <v>0</v>
      </c>
      <c r="N49" s="3">
        <f>NseMeas!CC49</f>
        <v>0.18649283066362965</v>
      </c>
      <c r="O49" s="3">
        <f>NseMeas!BW49</f>
        <v>0.18647465915983927</v>
      </c>
      <c r="P49" s="2">
        <f t="shared" si="0"/>
        <v>0</v>
      </c>
      <c r="Q49" s="3">
        <f>NseMeas!CA49</f>
        <v>2.6878157133072068E-3</v>
      </c>
      <c r="R49" s="3">
        <f>NseMeas!BU49</f>
        <v>0</v>
      </c>
      <c r="S49" s="3">
        <f>NseMeas!BY49</f>
        <v>0</v>
      </c>
      <c r="U49" s="3">
        <f>Calibration!AW49</f>
        <v>2.7228935689753929E-3</v>
      </c>
      <c r="V49" s="3">
        <f>Calibration!AY49</f>
        <v>2.4299385183015474E-5</v>
      </c>
      <c r="W49" s="3">
        <f>Calibration!BG49</f>
        <v>5.6977114523840542E-6</v>
      </c>
      <c r="X49" s="3">
        <f>Calibration!BC49</f>
        <v>9.2208382570472797E-6</v>
      </c>
      <c r="Y49" s="3">
        <f>Calibration!BE49</f>
        <v>2.6878157133072068E-3</v>
      </c>
      <c r="Z49" s="3">
        <f>Calibration!BA49</f>
        <v>0</v>
      </c>
      <c r="AA49" s="3">
        <f>Calibration!BI49</f>
        <v>2.6607275017236114E-5</v>
      </c>
    </row>
    <row r="50" spans="1:27">
      <c r="A50" s="2">
        <f>MIN(StopFreqGHz+0.000001,Result!A49+FreqStep)</f>
        <v>23.859999999999992</v>
      </c>
      <c r="B50" s="2">
        <f>DUT!AD51</f>
        <v>20</v>
      </c>
      <c r="C50" s="2">
        <f>DUT!AE51</f>
        <v>4</v>
      </c>
      <c r="D50" s="3">
        <f>10*LOG10((T_0+NseMeas!O50)/T_0)</f>
        <v>4.0000000000000018</v>
      </c>
      <c r="E50" s="3">
        <f>10*LOG10((T_0+NseMeas!BG50)/T_0)</f>
        <v>4.2293343324524111</v>
      </c>
      <c r="F50" s="3">
        <f>10*LOG10((T_0+NseMeas!BH50)/T_0)</f>
        <v>3.7578769360508297</v>
      </c>
      <c r="G50" s="3">
        <f>CHOOSE(SrcDispSelect,NseMeas!BF50+(IF(UseUserCal,0,K50)),N50,U50)</f>
        <v>0.22933433245240842</v>
      </c>
      <c r="H50" s="3">
        <f>CHOOSE(SrcDispSelect,NseMeas!BJ50,O50,AA50)</f>
        <v>3.0216959209072681E-2</v>
      </c>
      <c r="I50" s="3">
        <f>CHOOSE(SrcDispSelect,NseMeas!BL50,R50,Y50)</f>
        <v>0.18647479871949232</v>
      </c>
      <c r="J50" s="3">
        <f>CHOOSE(SrcDispSelect,NseMeas!BN50,Q50,Z50)</f>
        <v>0.13295574208791705</v>
      </c>
      <c r="K50" s="3">
        <f>CHOOSE(SrcDispSelect,IF(UseUserCal,NseMeas!BP50,ABS(D50-C50)),P50,AB50)</f>
        <v>2.7228923052829393E-3</v>
      </c>
      <c r="L50" s="3">
        <f>CHOOSE(SrcDispSelect,NseMeas!BR50,S50,Z50)</f>
        <v>0</v>
      </c>
      <c r="N50" s="3">
        <f>NseMeas!CC50</f>
        <v>0.18649297020880681</v>
      </c>
      <c r="O50" s="3">
        <f>NseMeas!BW50</f>
        <v>0.18647479871949232</v>
      </c>
      <c r="P50" s="2">
        <f t="shared" si="0"/>
        <v>0</v>
      </c>
      <c r="Q50" s="3">
        <f>NseMeas!CA50</f>
        <v>2.6878157133072068E-3</v>
      </c>
      <c r="R50" s="3">
        <f>NseMeas!BU50</f>
        <v>0</v>
      </c>
      <c r="S50" s="3">
        <f>NseMeas!BY50</f>
        <v>0</v>
      </c>
      <c r="U50" s="3">
        <f>Calibration!AW50</f>
        <v>2.7228923052829393E-3</v>
      </c>
      <c r="V50" s="3">
        <f>Calibration!AY50</f>
        <v>2.4201465140608221E-5</v>
      </c>
      <c r="W50" s="3">
        <f>Calibration!BG50</f>
        <v>5.5826641990434335E-6</v>
      </c>
      <c r="X50" s="3">
        <f>Calibration!BC50</f>
        <v>9.175107905883672E-6</v>
      </c>
      <c r="Y50" s="3">
        <f>Calibration!BE50</f>
        <v>2.6878157133072068E-3</v>
      </c>
      <c r="Z50" s="3">
        <f>Calibration!BA50</f>
        <v>0</v>
      </c>
      <c r="AA50" s="3">
        <f>Calibration!BI50</f>
        <v>2.6477516260282541E-5</v>
      </c>
    </row>
    <row r="51" spans="1:27">
      <c r="A51" s="2">
        <f>MIN(StopFreqGHz+0.000001,Result!A50+FreqStep)</f>
        <v>24.387999999999991</v>
      </c>
      <c r="B51" s="2">
        <f>DUT!AD52</f>
        <v>20</v>
      </c>
      <c r="C51" s="2">
        <f>DUT!AE52</f>
        <v>4</v>
      </c>
      <c r="D51" s="3">
        <f>10*LOG10((T_0+NseMeas!O51)/T_0)</f>
        <v>4.0000000000000027</v>
      </c>
      <c r="E51" s="3">
        <f>10*LOG10((T_0+NseMeas!BG51)/T_0)</f>
        <v>4.2293343473514931</v>
      </c>
      <c r="F51" s="3">
        <f>10*LOG10((T_0+NseMeas!BH51)/T_0)</f>
        <v>3.7578769194432935</v>
      </c>
      <c r="G51" s="3">
        <f>CHOOSE(SrcDispSelect,NseMeas!BF51+(IF(UseUserCal,0,K51)),N51,U51)</f>
        <v>0.22933434735148928</v>
      </c>
      <c r="H51" s="3">
        <f>CHOOSE(SrcDispSelect,NseMeas!BJ51,O51,AA51)</f>
        <v>3.0215757401425066E-2</v>
      </c>
      <c r="I51" s="3">
        <f>CHOOSE(SrcDispSelect,NseMeas!BL51,R51,Y51)</f>
        <v>0.18647493393667114</v>
      </c>
      <c r="J51" s="3">
        <f>CHOOSE(SrcDispSelect,NseMeas!BN51,Q51,Z51)</f>
        <v>0.13295583908939965</v>
      </c>
      <c r="K51" s="3">
        <f>CHOOSE(SrcDispSelect,IF(UseUserCal,NseMeas!BP51,ABS(D51-C51)),P51,AB51)</f>
        <v>2.7228910877027061E-3</v>
      </c>
      <c r="L51" s="3">
        <f>CHOOSE(SrcDispSelect,NseMeas!BR51,S51,Z51)</f>
        <v>0</v>
      </c>
      <c r="N51" s="3">
        <f>NseMeas!CC51</f>
        <v>0.18649310541195924</v>
      </c>
      <c r="O51" s="3">
        <f>NseMeas!BW51</f>
        <v>0.18647493393667114</v>
      </c>
      <c r="P51" s="2">
        <f t="shared" si="0"/>
        <v>0</v>
      </c>
      <c r="Q51" s="3">
        <f>NseMeas!CA51</f>
        <v>2.6878157133072068E-3</v>
      </c>
      <c r="R51" s="3">
        <f>NseMeas!BU51</f>
        <v>0</v>
      </c>
      <c r="S51" s="3">
        <f>NseMeas!BY51</f>
        <v>0</v>
      </c>
      <c r="U51" s="3">
        <f>Calibration!AW51</f>
        <v>2.7228910877027061E-3</v>
      </c>
      <c r="V51" s="3">
        <f>Calibration!AY51</f>
        <v>2.4106591928607884E-5</v>
      </c>
      <c r="W51" s="3">
        <f>Calibration!BG51</f>
        <v>5.4704996330148945E-6</v>
      </c>
      <c r="X51" s="3">
        <f>Calibration!BC51</f>
        <v>9.1306434435291936E-6</v>
      </c>
      <c r="Y51" s="3">
        <f>Calibration!BE51</f>
        <v>2.6878157133072068E-3</v>
      </c>
      <c r="Z51" s="3">
        <f>Calibration!BA51</f>
        <v>0</v>
      </c>
      <c r="AA51" s="3">
        <f>Calibration!BI51</f>
        <v>2.6351888270418157E-5</v>
      </c>
    </row>
    <row r="52" spans="1:27">
      <c r="A52" s="2">
        <f>MIN(StopFreqGHz+0.000001,Result!A51+FreqStep)</f>
        <v>24.91599999999999</v>
      </c>
      <c r="B52" s="2">
        <f>DUT!AD53</f>
        <v>20</v>
      </c>
      <c r="C52" s="2">
        <f>DUT!AE53</f>
        <v>4</v>
      </c>
      <c r="D52" s="3">
        <f>10*LOG10((T_0+NseMeas!O52)/T_0)</f>
        <v>4.0000000000000018</v>
      </c>
      <c r="E52" s="3">
        <f>10*LOG10((T_0+NseMeas!BG52)/T_0)</f>
        <v>4.2293343617952281</v>
      </c>
      <c r="F52" s="3">
        <f>10*LOG10((T_0+NseMeas!BH52)/T_0)</f>
        <v>3.7578769033433144</v>
      </c>
      <c r="G52" s="3">
        <f>CHOOSE(SrcDispSelect,NseMeas!BF52+(IF(UseUserCal,0,K52)),N52,U52)</f>
        <v>0.22933436179522579</v>
      </c>
      <c r="H52" s="3">
        <f>CHOOSE(SrcDispSelect,NseMeas!BJ52,O52,AA52)</f>
        <v>3.021459300814577E-2</v>
      </c>
      <c r="I52" s="3">
        <f>CHOOSE(SrcDispSelect,NseMeas!BL52,R52,Y52)</f>
        <v>0.18647506494649263</v>
      </c>
      <c r="J52" s="3">
        <f>CHOOSE(SrcDispSelect,NseMeas!BN52,Q52,Z52)</f>
        <v>0.13295593307262904</v>
      </c>
      <c r="K52" s="3">
        <f>CHOOSE(SrcDispSelect,IF(UseUserCal,NseMeas!BP52,ABS(D52-C52)),P52,AB52)</f>
        <v>2.7228899143872361E-3</v>
      </c>
      <c r="L52" s="3">
        <f>CHOOSE(SrcDispSelect,NseMeas!BR52,S52,Z52)</f>
        <v>0</v>
      </c>
      <c r="N52" s="3">
        <f>NseMeas!CC52</f>
        <v>0.18649323640819138</v>
      </c>
      <c r="O52" s="3">
        <f>NseMeas!BW52</f>
        <v>0.18647506494649263</v>
      </c>
      <c r="P52" s="2">
        <f t="shared" si="0"/>
        <v>0</v>
      </c>
      <c r="Q52" s="3">
        <f>NseMeas!CA52</f>
        <v>2.6878157133072068E-3</v>
      </c>
      <c r="R52" s="3">
        <f>NseMeas!BU52</f>
        <v>0</v>
      </c>
      <c r="S52" s="3">
        <f>NseMeas!BY52</f>
        <v>0</v>
      </c>
      <c r="U52" s="3">
        <f>Calibration!AW52</f>
        <v>2.7228899143872361E-3</v>
      </c>
      <c r="V52" s="3">
        <f>Calibration!AY52</f>
        <v>2.401467074374081E-5</v>
      </c>
      <c r="W52" s="3">
        <f>Calibration!BG52</f>
        <v>5.3611296806743359E-6</v>
      </c>
      <c r="X52" s="3">
        <f>Calibration!BC52</f>
        <v>9.0874129373498155E-6</v>
      </c>
      <c r="Y52" s="3">
        <f>Calibration!BE52</f>
        <v>2.6878157133072068E-3</v>
      </c>
      <c r="Z52" s="3">
        <f>Calibration!BA52</f>
        <v>0</v>
      </c>
      <c r="AA52" s="3">
        <f>Calibration!BI52</f>
        <v>2.6230258062261032E-5</v>
      </c>
    </row>
    <row r="53" spans="1:27">
      <c r="A53" s="2">
        <f>MIN(StopFreqGHz+0.000001,Result!A52+FreqStep)</f>
        <v>25.443999999999988</v>
      </c>
      <c r="B53" s="2">
        <f>DUT!AD54</f>
        <v>20</v>
      </c>
      <c r="C53" s="2">
        <f>DUT!AE54</f>
        <v>4</v>
      </c>
      <c r="D53" s="3">
        <f>10*LOG10((T_0+NseMeas!O53)/T_0)</f>
        <v>4.0000000000000018</v>
      </c>
      <c r="E53" s="3">
        <f>10*LOG10((T_0+NseMeas!BG53)/T_0)</f>
        <v>4.2293387928156374</v>
      </c>
      <c r="F53" s="3">
        <f>10*LOG10((T_0+NseMeas!BH53)/T_0)</f>
        <v>3.7578719642189133</v>
      </c>
      <c r="G53" s="3">
        <f>CHOOSE(SrcDispSelect,NseMeas!BF53+(IF(UseUserCal,0,K53)),N53,U53)</f>
        <v>0.2293387928156353</v>
      </c>
      <c r="H53" s="3">
        <f>CHOOSE(SrcDispSelect,NseMeas!BJ53,O53,AA53)</f>
        <v>3.0249358570400165E-2</v>
      </c>
      <c r="I53" s="3">
        <f>CHOOSE(SrcDispSelect,NseMeas!BL53,R53,Y53)</f>
        <v>0.18647519187987224</v>
      </c>
      <c r="J53" s="3">
        <f>CHOOSE(SrcDispSelect,NseMeas!BN53,Q53,Z53)</f>
        <v>0.13295602413151972</v>
      </c>
      <c r="K53" s="3">
        <f>CHOOSE(SrcDispSelect,IF(UseUserCal,NseMeas!BP53,ABS(D53-C53)),P53,AB53)</f>
        <v>2.7229269206266319E-3</v>
      </c>
      <c r="L53" s="3">
        <f>CHOOSE(SrcDispSelect,NseMeas!BR53,S53,Z53)</f>
        <v>0</v>
      </c>
      <c r="N53" s="3">
        <f>NseMeas!CC53</f>
        <v>0.18649336332840422</v>
      </c>
      <c r="O53" s="3">
        <f>NseMeas!BW53</f>
        <v>0.18647519187987224</v>
      </c>
      <c r="P53" s="2">
        <f t="shared" si="0"/>
        <v>0</v>
      </c>
      <c r="Q53" s="3">
        <f>NseMeas!CA53</f>
        <v>2.6878157133072068E-3</v>
      </c>
      <c r="R53" s="3">
        <f>NseMeas!BU53</f>
        <v>0</v>
      </c>
      <c r="S53" s="3">
        <f>NseMeas!BY53</f>
        <v>0</v>
      </c>
      <c r="U53" s="3">
        <f>Calibration!AW53</f>
        <v>2.7229269206266319E-3</v>
      </c>
      <c r="V53" s="3">
        <f>Calibration!AY53</f>
        <v>2.6721072346359549E-5</v>
      </c>
      <c r="W53" s="3">
        <f>Calibration!BG53</f>
        <v>8.3546571475535126E-6</v>
      </c>
      <c r="X53" s="3">
        <f>Calibration!BC53</f>
        <v>1.0292163885196969E-5</v>
      </c>
      <c r="Y53" s="3">
        <f>Calibration!BE53</f>
        <v>2.6878157133072068E-3</v>
      </c>
      <c r="Z53" s="3">
        <f>Calibration!BA53</f>
        <v>0</v>
      </c>
      <c r="AA53" s="3">
        <f>Calibration!BI53</f>
        <v>2.9828565307163971E-5</v>
      </c>
    </row>
    <row r="54" spans="1:27">
      <c r="A54" s="2">
        <f>MIN(StopFreqGHz+0.000001,Result!A53+FreqStep)</f>
        <v>25.971999999999987</v>
      </c>
      <c r="B54" s="2">
        <f>DUT!AD55</f>
        <v>20</v>
      </c>
      <c r="C54" s="2">
        <f>DUT!AE55</f>
        <v>4</v>
      </c>
      <c r="D54" s="3">
        <f>10*LOG10((T_0+NseMeas!O54)/T_0)</f>
        <v>4</v>
      </c>
      <c r="E54" s="3">
        <f>10*LOG10((T_0+NseMeas!BG54)/T_0)</f>
        <v>4.2293386686136998</v>
      </c>
      <c r="F54" s="3">
        <f>10*LOG10((T_0+NseMeas!BH54)/T_0)</f>
        <v>3.7578721026631987</v>
      </c>
      <c r="G54" s="3">
        <f>CHOOSE(SrcDispSelect,NseMeas!BF54+(IF(UseUserCal,0,K54)),N54,U54)</f>
        <v>0.22933866861369948</v>
      </c>
      <c r="H54" s="3">
        <f>CHOOSE(SrcDispSelect,NseMeas!BJ54,O54,AA54)</f>
        <v>3.024714788390781E-2</v>
      </c>
      <c r="I54" s="3">
        <f>CHOOSE(SrcDispSelect,NseMeas!BL54,R54,Y54)</f>
        <v>0.18647531486365065</v>
      </c>
      <c r="J54" s="3">
        <f>CHOOSE(SrcDispSelect,NseMeas!BN54,Q54,Z54)</f>
        <v>0.13295611235706448</v>
      </c>
      <c r="K54" s="3">
        <f>CHOOSE(SrcDispSelect,IF(UseUserCal,NseMeas!BP54,ABS(D54-C54)),P54,AB54)</f>
        <v>2.7229243849797463E-3</v>
      </c>
      <c r="L54" s="3">
        <f>CHOOSE(SrcDispSelect,NseMeas!BR54,S54,Z54)</f>
        <v>0</v>
      </c>
      <c r="N54" s="3">
        <f>NseMeas!CC54</f>
        <v>0.18649348629942497</v>
      </c>
      <c r="O54" s="3">
        <f>NseMeas!BW54</f>
        <v>0.18647531486365065</v>
      </c>
      <c r="P54" s="2">
        <f t="shared" si="0"/>
        <v>0</v>
      </c>
      <c r="Q54" s="3">
        <f>NseMeas!CA54</f>
        <v>2.6878157133072068E-3</v>
      </c>
      <c r="R54" s="3">
        <f>NseMeas!BU54</f>
        <v>0</v>
      </c>
      <c r="S54" s="3">
        <f>NseMeas!BY54</f>
        <v>0</v>
      </c>
      <c r="U54" s="3">
        <f>Calibration!AW54</f>
        <v>2.7229243849797463E-3</v>
      </c>
      <c r="V54" s="3">
        <f>Calibration!AY54</f>
        <v>2.6547800325591039E-5</v>
      </c>
      <c r="W54" s="3">
        <f>Calibration!BG54</f>
        <v>8.1693966853696831E-6</v>
      </c>
      <c r="X54" s="3">
        <f>Calibration!BC54</f>
        <v>1.0217546193748054E-5</v>
      </c>
      <c r="Y54" s="3">
        <f>Calibration!BE54</f>
        <v>2.6878157133072068E-3</v>
      </c>
      <c r="Z54" s="3">
        <f>Calibration!BA54</f>
        <v>0</v>
      </c>
      <c r="AA54" s="3">
        <f>Calibration!BI54</f>
        <v>2.9595974469367256E-5</v>
      </c>
    </row>
    <row r="55" spans="1:27">
      <c r="A55" s="2">
        <f>MIN(StopFreqGHz+0.000001,Result!A54+FreqStep)</f>
        <v>26.499999999999986</v>
      </c>
      <c r="B55" s="2">
        <f>DUT!AD56</f>
        <v>20</v>
      </c>
      <c r="C55" s="2">
        <f>DUT!AE56</f>
        <v>4</v>
      </c>
      <c r="D55" s="3">
        <f>10*LOG10((T_0+NseMeas!O55)/T_0)</f>
        <v>4.0000000000000009</v>
      </c>
      <c r="E55" s="3">
        <f>10*LOG10((T_0+NseMeas!BG55)/T_0)</f>
        <v>4.2293385483038861</v>
      </c>
      <c r="F55" s="3">
        <f>10*LOG10((T_0+NseMeas!BH55)/T_0)</f>
        <v>3.7578722367690425</v>
      </c>
      <c r="G55" s="3">
        <f>CHOOSE(SrcDispSelect,NseMeas!BF55+(IF(UseUserCal,0,K55)),N55,U55)</f>
        <v>0.22933854830388511</v>
      </c>
      <c r="H55" s="3">
        <f>CHOOSE(SrcDispSelect,NseMeas!BJ55,O55,AA55)</f>
        <v>3.0245006049754261E-2</v>
      </c>
      <c r="I55" s="3">
        <f>CHOOSE(SrcDispSelect,NseMeas!BL55,R55,Y55)</f>
        <v>0.18647543402072092</v>
      </c>
      <c r="J55" s="3">
        <f>CHOOSE(SrcDispSelect,NseMeas!BN55,Q55,Z55)</f>
        <v>0.13295619783742318</v>
      </c>
      <c r="K55" s="3">
        <f>CHOOSE(SrcDispSelect,IF(UseUserCal,NseMeas!BP55,ABS(D55-C55)),P55,AB55)</f>
        <v>2.7229219493721305E-3</v>
      </c>
      <c r="L55" s="3">
        <f>CHOOSE(SrcDispSelect,NseMeas!BR55,S55,Z55)</f>
        <v>0</v>
      </c>
      <c r="N55" s="3">
        <f>NseMeas!CC55</f>
        <v>0.18649360544413612</v>
      </c>
      <c r="O55" s="3">
        <f>NseMeas!BW55</f>
        <v>0.18647543402072092</v>
      </c>
      <c r="P55" s="2">
        <f t="shared" si="0"/>
        <v>0</v>
      </c>
      <c r="Q55" s="3">
        <f>NseMeas!CA55</f>
        <v>2.6878157133072068E-3</v>
      </c>
      <c r="R55" s="3">
        <f>NseMeas!BU55</f>
        <v>0</v>
      </c>
      <c r="S55" s="3">
        <f>NseMeas!BY55</f>
        <v>0</v>
      </c>
      <c r="U55" s="3">
        <f>Calibration!AW55</f>
        <v>2.7229219493721305E-3</v>
      </c>
      <c r="V55" s="3">
        <f>Calibration!AY55</f>
        <v>2.6379919746740553E-5</v>
      </c>
      <c r="W55" s="3">
        <f>Calibration!BG55</f>
        <v>7.9892131566907041E-6</v>
      </c>
      <c r="X55" s="3">
        <f>Calibration!BC55</f>
        <v>1.0144898844046051E-5</v>
      </c>
      <c r="Y55" s="3">
        <f>Calibration!BE55</f>
        <v>2.6878157133072068E-3</v>
      </c>
      <c r="Z55" s="3">
        <f>Calibration!BA55</f>
        <v>0</v>
      </c>
      <c r="AA55" s="3">
        <f>Calibration!BI55</f>
        <v>2.9370825935733352E-5</v>
      </c>
    </row>
    <row r="56" spans="1:27">
      <c r="A56" s="2">
        <f>MIN(StopFreqGHz+0.000001,Result!A55+FreqStep)</f>
        <v>26.500001000000001</v>
      </c>
      <c r="B56" s="2">
        <f>DUT!AD57</f>
        <v>20</v>
      </c>
      <c r="C56" s="2">
        <f>DUT!AE57</f>
        <v>4</v>
      </c>
      <c r="D56" s="3">
        <f>10*LOG10((T_0+NseMeas!O56)/T_0)</f>
        <v>4.0000000000000027</v>
      </c>
      <c r="E56" s="3">
        <f>10*LOG10((T_0+NseMeas!BG56)/T_0)</f>
        <v>4.2293385483036632</v>
      </c>
      <c r="F56" s="3">
        <f>10*LOG10((T_0+NseMeas!BH56)/T_0)</f>
        <v>3.7578722367692938</v>
      </c>
      <c r="G56" s="3">
        <f>CHOOSE(SrcDispSelect,NseMeas!BF56+(IF(UseUserCal,0,K56)),N56,U56)</f>
        <v>0.22933854830366102</v>
      </c>
      <c r="H56" s="3">
        <f>CHOOSE(SrcDispSelect,NseMeas!BJ56,O56,AA56)</f>
        <v>3.0245006045761878E-2</v>
      </c>
      <c r="I56" s="3">
        <f>CHOOSE(SrcDispSelect,NseMeas!BL56,R56,Y56)</f>
        <v>0.18647543402094358</v>
      </c>
      <c r="J56" s="3">
        <f>CHOOSE(SrcDispSelect,NseMeas!BN56,Q56,Z56)</f>
        <v>0.13295619783758311</v>
      </c>
      <c r="K56" s="3">
        <f>CHOOSE(SrcDispSelect,IF(UseUserCal,NseMeas!BP56,ABS(D56-C56)),P56,AB56)</f>
        <v>2.7229219493682755E-3</v>
      </c>
      <c r="L56" s="3">
        <f>CHOOSE(SrcDispSelect,NseMeas!BR56,S56,Z56)</f>
        <v>0</v>
      </c>
      <c r="N56" s="3">
        <f>NseMeas!CC56</f>
        <v>0.18649360544435875</v>
      </c>
      <c r="O56" s="3">
        <f>NseMeas!BW56</f>
        <v>0.18647543402094358</v>
      </c>
      <c r="P56" s="2">
        <f t="shared" si="0"/>
        <v>0</v>
      </c>
      <c r="Q56" s="3">
        <f>NseMeas!CA56</f>
        <v>2.6878157133072068E-3</v>
      </c>
      <c r="R56" s="3">
        <f>NseMeas!BU56</f>
        <v>0</v>
      </c>
      <c r="S56" s="3">
        <f>NseMeas!BY56</f>
        <v>0</v>
      </c>
      <c r="U56" s="3">
        <f>Calibration!AW56</f>
        <v>2.7229219493682755E-3</v>
      </c>
      <c r="V56" s="3">
        <f>Calibration!AY56</f>
        <v>2.6379919433336028E-5</v>
      </c>
      <c r="W56" s="3">
        <f>Calibration!BG56</f>
        <v>7.9892128201410378E-6</v>
      </c>
      <c r="X56" s="3">
        <f>Calibration!BC56</f>
        <v>1.0144898708076197E-5</v>
      </c>
      <c r="Y56" s="3">
        <f>Calibration!BE56</f>
        <v>2.6878157133072068E-3</v>
      </c>
      <c r="Z56" s="3">
        <f>Calibration!BA56</f>
        <v>0</v>
      </c>
      <c r="AA56" s="3">
        <f>Calibration!BI56</f>
        <v>2.9370825516253739E-5</v>
      </c>
    </row>
    <row r="57" spans="1:27">
      <c r="A57" s="2">
        <f>MIN(StopFreqGHz+0.000001,Result!A56+FreqStep)</f>
        <v>26.500001000000001</v>
      </c>
      <c r="B57" s="2">
        <f>DUT!AD58</f>
        <v>20</v>
      </c>
      <c r="C57" s="2">
        <f>DUT!AE58</f>
        <v>4</v>
      </c>
      <c r="D57" s="3">
        <f>10*LOG10((T_0+NseMeas!O57)/T_0)</f>
        <v>4.0000000000000027</v>
      </c>
      <c r="E57" s="3">
        <f>10*LOG10((T_0+NseMeas!BG57)/T_0)</f>
        <v>4.2293385483036632</v>
      </c>
      <c r="F57" s="3">
        <f>10*LOG10((T_0+NseMeas!BH57)/T_0)</f>
        <v>3.7578722367692938</v>
      </c>
      <c r="G57" s="3">
        <f>CHOOSE(SrcDispSelect,NseMeas!BF57+(IF(UseUserCal,0,K57)),N57,U57)</f>
        <v>0.22933854830366102</v>
      </c>
      <c r="H57" s="3">
        <f>CHOOSE(SrcDispSelect,NseMeas!BJ57,O57,AA57)</f>
        <v>3.0245006045761878E-2</v>
      </c>
      <c r="I57" s="3">
        <f>CHOOSE(SrcDispSelect,NseMeas!BL57,R57,Y57)</f>
        <v>0.18647543402094358</v>
      </c>
      <c r="J57" s="3">
        <f>CHOOSE(SrcDispSelect,NseMeas!BN57,Q57,Z57)</f>
        <v>0.13295619783758311</v>
      </c>
      <c r="K57" s="3">
        <f>CHOOSE(SrcDispSelect,IF(UseUserCal,NseMeas!BP57,ABS(D57-C57)),P57,AB57)</f>
        <v>2.7229219493682755E-3</v>
      </c>
      <c r="L57" s="3">
        <f>CHOOSE(SrcDispSelect,NseMeas!BR57,S57,Z57)</f>
        <v>0</v>
      </c>
      <c r="N57" s="3">
        <f>NseMeas!CC57</f>
        <v>0.18649360544435875</v>
      </c>
      <c r="O57" s="3">
        <f>NseMeas!BW57</f>
        <v>0.18647543402094358</v>
      </c>
      <c r="P57" s="2">
        <f t="shared" si="0"/>
        <v>0</v>
      </c>
      <c r="Q57" s="3">
        <f>NseMeas!CA57</f>
        <v>2.6878157133072068E-3</v>
      </c>
      <c r="R57" s="3">
        <f>NseMeas!BU57</f>
        <v>0</v>
      </c>
      <c r="S57" s="3">
        <f>NseMeas!BY57</f>
        <v>0</v>
      </c>
      <c r="U57" s="3">
        <f>Calibration!AW57</f>
        <v>2.7229219493682755E-3</v>
      </c>
      <c r="V57" s="3">
        <f>Calibration!AY57</f>
        <v>2.6379919433336028E-5</v>
      </c>
      <c r="W57" s="3">
        <f>Calibration!BG57</f>
        <v>7.9892128201410378E-6</v>
      </c>
      <c r="X57" s="3">
        <f>Calibration!BC57</f>
        <v>1.0144898708076197E-5</v>
      </c>
      <c r="Y57" s="3">
        <f>Calibration!BE57</f>
        <v>2.6878157133072068E-3</v>
      </c>
      <c r="Z57" s="3">
        <f>Calibration!BA57</f>
        <v>0</v>
      </c>
      <c r="AA57" s="3">
        <f>Calibration!BI57</f>
        <v>2.9370825516253739E-5</v>
      </c>
    </row>
    <row r="58" spans="1:27">
      <c r="A58" s="2">
        <f>MIN(StopFreqGHz+0.000001,Result!A57+FreqStep)</f>
        <v>26.500001000000001</v>
      </c>
      <c r="B58" s="2">
        <f>DUT!AD59</f>
        <v>20</v>
      </c>
      <c r="C58" s="2">
        <f>DUT!AE59</f>
        <v>4</v>
      </c>
      <c r="D58" s="3">
        <f>10*LOG10((T_0+NseMeas!O58)/T_0)</f>
        <v>4.0000000000000027</v>
      </c>
      <c r="E58" s="3">
        <f>10*LOG10((T_0+NseMeas!BG58)/T_0)</f>
        <v>4.2293385483036632</v>
      </c>
      <c r="F58" s="3">
        <f>10*LOG10((T_0+NseMeas!BH58)/T_0)</f>
        <v>3.7578722367692938</v>
      </c>
      <c r="G58" s="3">
        <f>CHOOSE(SrcDispSelect,NseMeas!BF58+(IF(UseUserCal,0,K58)),N58,U58)</f>
        <v>0.22933854830366102</v>
      </c>
      <c r="H58" s="3">
        <f>CHOOSE(SrcDispSelect,NseMeas!BJ58,O58,AA58)</f>
        <v>3.0245006045761878E-2</v>
      </c>
      <c r="I58" s="3">
        <f>CHOOSE(SrcDispSelect,NseMeas!BL58,R58,Y58)</f>
        <v>0.18647543402094358</v>
      </c>
      <c r="J58" s="3">
        <f>CHOOSE(SrcDispSelect,NseMeas!BN58,Q58,Z58)</f>
        <v>0.13295619783758311</v>
      </c>
      <c r="K58" s="3">
        <f>CHOOSE(SrcDispSelect,IF(UseUserCal,NseMeas!BP58,ABS(D58-C58)),P58,AB58)</f>
        <v>2.7229219493682755E-3</v>
      </c>
      <c r="L58" s="3">
        <f>CHOOSE(SrcDispSelect,NseMeas!BR58,S58,Z58)</f>
        <v>0</v>
      </c>
      <c r="N58" s="3">
        <f>NseMeas!CC58</f>
        <v>0.18649360544435875</v>
      </c>
      <c r="O58" s="3">
        <f>NseMeas!BW58</f>
        <v>0.18647543402094358</v>
      </c>
      <c r="P58" s="2">
        <f t="shared" si="0"/>
        <v>0</v>
      </c>
      <c r="Q58" s="3">
        <f>NseMeas!CA58</f>
        <v>2.6878157133072068E-3</v>
      </c>
      <c r="R58" s="3">
        <f>NseMeas!BU58</f>
        <v>0</v>
      </c>
      <c r="S58" s="3">
        <f>NseMeas!BY58</f>
        <v>0</v>
      </c>
      <c r="U58" s="3">
        <f>Calibration!AW58</f>
        <v>2.7229219493682755E-3</v>
      </c>
      <c r="V58" s="3">
        <f>Calibration!AY58</f>
        <v>2.6379919433336028E-5</v>
      </c>
      <c r="W58" s="3">
        <f>Calibration!BG58</f>
        <v>7.9892128201410378E-6</v>
      </c>
      <c r="X58" s="3">
        <f>Calibration!BC58</f>
        <v>1.0144898708076197E-5</v>
      </c>
      <c r="Y58" s="3">
        <f>Calibration!BE58</f>
        <v>2.6878157133072068E-3</v>
      </c>
      <c r="Z58" s="3">
        <f>Calibration!BA58</f>
        <v>0</v>
      </c>
      <c r="AA58" s="3">
        <f>Calibration!BI58</f>
        <v>2.9370825516253739E-5</v>
      </c>
    </row>
    <row r="59" spans="1:27">
      <c r="A59" s="2">
        <f>MIN(StopFreqGHz+0.000001,Result!A58+FreqStep)</f>
        <v>26.500001000000001</v>
      </c>
      <c r="B59" s="2">
        <f>DUT!AD60</f>
        <v>20</v>
      </c>
      <c r="C59" s="2">
        <f>DUT!AE60</f>
        <v>4</v>
      </c>
      <c r="D59" s="3">
        <f>10*LOG10((T_0+NseMeas!O59)/T_0)</f>
        <v>4.0000000000000027</v>
      </c>
      <c r="E59" s="3">
        <f>10*LOG10((T_0+NseMeas!BG59)/T_0)</f>
        <v>4.2293385483036632</v>
      </c>
      <c r="F59" s="3">
        <f>10*LOG10((T_0+NseMeas!BH59)/T_0)</f>
        <v>3.7578722367692938</v>
      </c>
      <c r="G59" s="3">
        <f>CHOOSE(SrcDispSelect,NseMeas!BF59+(IF(UseUserCal,0,K59)),N59,U59)</f>
        <v>0.22933854830366102</v>
      </c>
      <c r="H59" s="3">
        <f>CHOOSE(SrcDispSelect,NseMeas!BJ59,O59,AA59)</f>
        <v>3.0245006045761878E-2</v>
      </c>
      <c r="I59" s="3">
        <f>CHOOSE(SrcDispSelect,NseMeas!BL59,R59,Y59)</f>
        <v>0.18647543402094358</v>
      </c>
      <c r="J59" s="3">
        <f>CHOOSE(SrcDispSelect,NseMeas!BN59,Q59,Z59)</f>
        <v>0.13295619783758311</v>
      </c>
      <c r="K59" s="3">
        <f>CHOOSE(SrcDispSelect,IF(UseUserCal,NseMeas!BP59,ABS(D59-C59)),P59,AB59)</f>
        <v>2.7229219493682755E-3</v>
      </c>
      <c r="L59" s="3">
        <f>CHOOSE(SrcDispSelect,NseMeas!BR59,S59,Z59)</f>
        <v>0</v>
      </c>
      <c r="N59" s="3">
        <f>NseMeas!CC59</f>
        <v>0.18649360544435875</v>
      </c>
      <c r="O59" s="3">
        <f>NseMeas!BW59</f>
        <v>0.18647543402094358</v>
      </c>
      <c r="P59" s="2">
        <f t="shared" si="0"/>
        <v>0</v>
      </c>
      <c r="Q59" s="3">
        <f>NseMeas!CA59</f>
        <v>2.6878157133072068E-3</v>
      </c>
      <c r="R59" s="3">
        <f>NseMeas!BU59</f>
        <v>0</v>
      </c>
      <c r="S59" s="3">
        <f>NseMeas!BY59</f>
        <v>0</v>
      </c>
      <c r="U59" s="3">
        <f>Calibration!AW59</f>
        <v>2.7229219493682755E-3</v>
      </c>
      <c r="V59" s="3">
        <f>Calibration!AY59</f>
        <v>2.6379919433336028E-5</v>
      </c>
      <c r="W59" s="3">
        <f>Calibration!BG59</f>
        <v>7.9892128201410378E-6</v>
      </c>
      <c r="X59" s="3">
        <f>Calibration!BC59</f>
        <v>1.0144898708076197E-5</v>
      </c>
      <c r="Y59" s="3">
        <f>Calibration!BE59</f>
        <v>2.6878157133072068E-3</v>
      </c>
      <c r="Z59" s="3">
        <f>Calibration!BA59</f>
        <v>0</v>
      </c>
      <c r="AA59" s="3">
        <f>Calibration!BI59</f>
        <v>2.9370825516253739E-5</v>
      </c>
    </row>
    <row r="60" spans="1:27">
      <c r="A60" s="2">
        <f>MIN(StopFreqGHz+0.000001,Result!A59+FreqStep)</f>
        <v>26.500001000000001</v>
      </c>
      <c r="B60" s="2">
        <f>DUT!AD61</f>
        <v>20</v>
      </c>
      <c r="C60" s="2">
        <f>DUT!AE61</f>
        <v>4</v>
      </c>
      <c r="D60" s="3">
        <f>10*LOG10((T_0+NseMeas!O60)/T_0)</f>
        <v>4.0000000000000027</v>
      </c>
      <c r="E60" s="3">
        <f>10*LOG10((T_0+NseMeas!BG60)/T_0)</f>
        <v>4.2293385483036632</v>
      </c>
      <c r="F60" s="3">
        <f>10*LOG10((T_0+NseMeas!BH60)/T_0)</f>
        <v>3.7578722367692938</v>
      </c>
      <c r="G60" s="3">
        <f>CHOOSE(SrcDispSelect,NseMeas!BF60+(IF(UseUserCal,0,K60)),N60,U60)</f>
        <v>0.22933854830366102</v>
      </c>
      <c r="H60" s="3">
        <f>CHOOSE(SrcDispSelect,NseMeas!BJ60,O60,AA60)</f>
        <v>3.0245006045761878E-2</v>
      </c>
      <c r="I60" s="3">
        <f>CHOOSE(SrcDispSelect,NseMeas!BL60,R60,Y60)</f>
        <v>0.18647543402094358</v>
      </c>
      <c r="J60" s="3">
        <f>CHOOSE(SrcDispSelect,NseMeas!BN60,Q60,Z60)</f>
        <v>0.13295619783758311</v>
      </c>
      <c r="K60" s="3">
        <f>CHOOSE(SrcDispSelect,IF(UseUserCal,NseMeas!BP60,ABS(D60-C60)),P60,AB60)</f>
        <v>2.7229219493682755E-3</v>
      </c>
      <c r="L60" s="3">
        <f>CHOOSE(SrcDispSelect,NseMeas!BR60,S60,Z60)</f>
        <v>0</v>
      </c>
      <c r="N60" s="3">
        <f>NseMeas!CC60</f>
        <v>0.18649360544435875</v>
      </c>
      <c r="O60" s="3">
        <f>NseMeas!BW60</f>
        <v>0.18647543402094358</v>
      </c>
      <c r="P60" s="2">
        <f t="shared" si="0"/>
        <v>0</v>
      </c>
      <c r="Q60" s="3">
        <f>NseMeas!CA60</f>
        <v>2.6878157133072068E-3</v>
      </c>
      <c r="R60" s="3">
        <f>NseMeas!BU60</f>
        <v>0</v>
      </c>
      <c r="S60" s="3">
        <f>NseMeas!BY60</f>
        <v>0</v>
      </c>
      <c r="U60" s="3">
        <f>Calibration!AW60</f>
        <v>2.7229219493682755E-3</v>
      </c>
      <c r="V60" s="3">
        <f>Calibration!AY60</f>
        <v>2.6379919433336028E-5</v>
      </c>
      <c r="W60" s="3">
        <f>Calibration!BG60</f>
        <v>7.9892128201410378E-6</v>
      </c>
      <c r="X60" s="3">
        <f>Calibration!BC60</f>
        <v>1.0144898708076197E-5</v>
      </c>
      <c r="Y60" s="3">
        <f>Calibration!BE60</f>
        <v>2.6878157133072068E-3</v>
      </c>
      <c r="Z60" s="3">
        <f>Calibration!BA60</f>
        <v>0</v>
      </c>
      <c r="AA60" s="3">
        <f>Calibration!BI60</f>
        <v>2.9370825516253739E-5</v>
      </c>
    </row>
    <row r="61" spans="1:27">
      <c r="A61" s="2">
        <f>MIN(StopFreqGHz+0.000001,Result!A60+FreqStep)</f>
        <v>26.500001000000001</v>
      </c>
      <c r="B61" s="2">
        <f>DUT!AD62</f>
        <v>20</v>
      </c>
      <c r="C61" s="2">
        <f>DUT!AE62</f>
        <v>4</v>
      </c>
      <c r="D61" s="3">
        <f>10*LOG10((T_0+NseMeas!O61)/T_0)</f>
        <v>4.0000000000000027</v>
      </c>
      <c r="E61" s="3">
        <f>10*LOG10((T_0+NseMeas!BG61)/T_0)</f>
        <v>4.2293385483036632</v>
      </c>
      <c r="F61" s="3">
        <f>10*LOG10((T_0+NseMeas!BH61)/T_0)</f>
        <v>3.7578722367692938</v>
      </c>
      <c r="G61" s="3">
        <f>CHOOSE(SrcDispSelect,NseMeas!BF61+(IF(UseUserCal,0,K61)),N61,U61)</f>
        <v>0.22933854830366102</v>
      </c>
      <c r="H61" s="3">
        <f>CHOOSE(SrcDispSelect,NseMeas!BJ61,O61,AA61)</f>
        <v>3.0245006045761878E-2</v>
      </c>
      <c r="I61" s="3">
        <f>CHOOSE(SrcDispSelect,NseMeas!BL61,R61,Y61)</f>
        <v>0.18647543402094358</v>
      </c>
      <c r="J61" s="3">
        <f>CHOOSE(SrcDispSelect,NseMeas!BN61,Q61,Z61)</f>
        <v>0.13295619783758311</v>
      </c>
      <c r="K61" s="3">
        <f>CHOOSE(SrcDispSelect,IF(UseUserCal,NseMeas!BP61,ABS(D61-C61)),P61,AB61)</f>
        <v>2.7229219493682755E-3</v>
      </c>
      <c r="L61" s="3">
        <f>CHOOSE(SrcDispSelect,NseMeas!BR61,S61,Z61)</f>
        <v>0</v>
      </c>
      <c r="N61" s="3">
        <f>NseMeas!CC61</f>
        <v>0.18649360544435875</v>
      </c>
      <c r="O61" s="3">
        <f>NseMeas!BW61</f>
        <v>0.18647543402094358</v>
      </c>
      <c r="P61" s="2">
        <f t="shared" si="0"/>
        <v>0</v>
      </c>
      <c r="Q61" s="3">
        <f>NseMeas!CA61</f>
        <v>2.6878157133072068E-3</v>
      </c>
      <c r="R61" s="3">
        <f>NseMeas!BU61</f>
        <v>0</v>
      </c>
      <c r="S61" s="3">
        <f>NseMeas!BY61</f>
        <v>0</v>
      </c>
      <c r="U61" s="3">
        <f>Calibration!AW61</f>
        <v>2.7229219493682755E-3</v>
      </c>
      <c r="V61" s="3">
        <f>Calibration!AY61</f>
        <v>2.6379919433336028E-5</v>
      </c>
      <c r="W61" s="3">
        <f>Calibration!BG61</f>
        <v>7.9892128201410378E-6</v>
      </c>
      <c r="X61" s="3">
        <f>Calibration!BC61</f>
        <v>1.0144898708076197E-5</v>
      </c>
      <c r="Y61" s="3">
        <f>Calibration!BE61</f>
        <v>2.6878157133072068E-3</v>
      </c>
      <c r="Z61" s="3">
        <f>Calibration!BA61</f>
        <v>0</v>
      </c>
      <c r="AA61" s="3">
        <f>Calibration!BI61</f>
        <v>2.9370825516253739E-5</v>
      </c>
    </row>
    <row r="62" spans="1:27">
      <c r="A62" s="2">
        <f>MIN(StopFreqGHz+0.000001,Result!A61+FreqStep)</f>
        <v>26.500001000000001</v>
      </c>
      <c r="B62" s="2">
        <f>DUT!AD63</f>
        <v>20</v>
      </c>
      <c r="C62" s="2">
        <f>DUT!AE63</f>
        <v>4</v>
      </c>
      <c r="D62" s="3">
        <f>10*LOG10((T_0+NseMeas!O62)/T_0)</f>
        <v>4.0000000000000027</v>
      </c>
      <c r="E62" s="3">
        <f>10*LOG10((T_0+NseMeas!BG62)/T_0)</f>
        <v>4.2293385483036632</v>
      </c>
      <c r="F62" s="3">
        <f>10*LOG10((T_0+NseMeas!BH62)/T_0)</f>
        <v>3.7578722367692938</v>
      </c>
      <c r="G62" s="3">
        <f>CHOOSE(SrcDispSelect,NseMeas!BF62+(IF(UseUserCal,0,K62)),N62,U62)</f>
        <v>0.22933854830366102</v>
      </c>
      <c r="H62" s="3">
        <f>CHOOSE(SrcDispSelect,NseMeas!BJ62,O62,AA62)</f>
        <v>3.0245006045761878E-2</v>
      </c>
      <c r="I62" s="3">
        <f>CHOOSE(SrcDispSelect,NseMeas!BL62,R62,Y62)</f>
        <v>0.18647543402094358</v>
      </c>
      <c r="J62" s="3">
        <f>CHOOSE(SrcDispSelect,NseMeas!BN62,Q62,Z62)</f>
        <v>0.13295619783758311</v>
      </c>
      <c r="K62" s="3">
        <f>CHOOSE(SrcDispSelect,IF(UseUserCal,NseMeas!BP62,ABS(D62-C62)),P62,AB62)</f>
        <v>2.7229219493682755E-3</v>
      </c>
      <c r="L62" s="3">
        <f>CHOOSE(SrcDispSelect,NseMeas!BR62,S62,Z62)</f>
        <v>0</v>
      </c>
      <c r="N62" s="3">
        <f>NseMeas!CC62</f>
        <v>0.18649360544435875</v>
      </c>
      <c r="O62" s="3">
        <f>NseMeas!BW62</f>
        <v>0.18647543402094358</v>
      </c>
      <c r="P62" s="2">
        <f t="shared" si="0"/>
        <v>0</v>
      </c>
      <c r="Q62" s="3">
        <f>NseMeas!CA62</f>
        <v>2.6878157133072068E-3</v>
      </c>
      <c r="R62" s="3">
        <f>NseMeas!BU62</f>
        <v>0</v>
      </c>
      <c r="S62" s="3">
        <f>NseMeas!BY62</f>
        <v>0</v>
      </c>
      <c r="U62" s="3">
        <f>Calibration!AW62</f>
        <v>2.7229219493682755E-3</v>
      </c>
      <c r="V62" s="3">
        <f>Calibration!AY62</f>
        <v>2.6379919433336028E-5</v>
      </c>
      <c r="W62" s="3">
        <f>Calibration!BG62</f>
        <v>7.9892128201410378E-6</v>
      </c>
      <c r="X62" s="3">
        <f>Calibration!BC62</f>
        <v>1.0144898708076197E-5</v>
      </c>
      <c r="Y62" s="3">
        <f>Calibration!BE62</f>
        <v>2.6878157133072068E-3</v>
      </c>
      <c r="Z62" s="3">
        <f>Calibration!BA62</f>
        <v>0</v>
      </c>
      <c r="AA62" s="3">
        <f>Calibration!BI62</f>
        <v>2.9370825516253739E-5</v>
      </c>
    </row>
    <row r="63" spans="1:27">
      <c r="A63" s="2">
        <f>MIN(StopFreqGHz+0.000001,Result!A62+FreqStep)</f>
        <v>26.500001000000001</v>
      </c>
      <c r="B63" s="2">
        <f>DUT!AD64</f>
        <v>20</v>
      </c>
      <c r="C63" s="2">
        <f>DUT!AE64</f>
        <v>4</v>
      </c>
      <c r="D63" s="3">
        <f>10*LOG10((T_0+NseMeas!O63)/T_0)</f>
        <v>4.0000000000000027</v>
      </c>
      <c r="E63" s="3">
        <f>10*LOG10((T_0+NseMeas!BG63)/T_0)</f>
        <v>4.2293385483036632</v>
      </c>
      <c r="F63" s="3">
        <f>10*LOG10((T_0+NseMeas!BH63)/T_0)</f>
        <v>3.7578722367692938</v>
      </c>
      <c r="G63" s="3">
        <f>CHOOSE(SrcDispSelect,NseMeas!BF63+(IF(UseUserCal,0,K63)),N63,U63)</f>
        <v>0.22933854830366102</v>
      </c>
      <c r="H63" s="3">
        <f>CHOOSE(SrcDispSelect,NseMeas!BJ63,O63,AA63)</f>
        <v>3.0245006045761878E-2</v>
      </c>
      <c r="I63" s="3">
        <f>CHOOSE(SrcDispSelect,NseMeas!BL63,R63,Y63)</f>
        <v>0.18647543402094358</v>
      </c>
      <c r="J63" s="3">
        <f>CHOOSE(SrcDispSelect,NseMeas!BN63,Q63,Z63)</f>
        <v>0.13295619783758311</v>
      </c>
      <c r="K63" s="3">
        <f>CHOOSE(SrcDispSelect,IF(UseUserCal,NseMeas!BP63,ABS(D63-C63)),P63,AB63)</f>
        <v>2.7229219493682755E-3</v>
      </c>
      <c r="L63" s="3">
        <f>CHOOSE(SrcDispSelect,NseMeas!BR63,S63,Z63)</f>
        <v>0</v>
      </c>
      <c r="N63" s="3">
        <f>NseMeas!CC63</f>
        <v>0.18649360544435875</v>
      </c>
      <c r="O63" s="3">
        <f>NseMeas!BW63</f>
        <v>0.18647543402094358</v>
      </c>
      <c r="P63" s="2">
        <f t="shared" si="0"/>
        <v>0</v>
      </c>
      <c r="Q63" s="3">
        <f>NseMeas!CA63</f>
        <v>2.6878157133072068E-3</v>
      </c>
      <c r="R63" s="3">
        <f>NseMeas!BU63</f>
        <v>0</v>
      </c>
      <c r="S63" s="3">
        <f>NseMeas!BY63</f>
        <v>0</v>
      </c>
      <c r="U63" s="3">
        <f>Calibration!AW63</f>
        <v>2.7229219493682755E-3</v>
      </c>
      <c r="V63" s="3">
        <f>Calibration!AY63</f>
        <v>2.6379919433336028E-5</v>
      </c>
      <c r="W63" s="3">
        <f>Calibration!BG63</f>
        <v>7.9892128201410378E-6</v>
      </c>
      <c r="X63" s="3">
        <f>Calibration!BC63</f>
        <v>1.0144898708076197E-5</v>
      </c>
      <c r="Y63" s="3">
        <f>Calibration!BE63</f>
        <v>2.6878157133072068E-3</v>
      </c>
      <c r="Z63" s="3">
        <f>Calibration!BA63</f>
        <v>0</v>
      </c>
      <c r="AA63" s="3">
        <f>Calibration!BI63</f>
        <v>2.9370825516253739E-5</v>
      </c>
    </row>
    <row r="64" spans="1:27">
      <c r="A64" s="2">
        <f>MIN(StopFreqGHz+0.000001,Result!A63+FreqStep)</f>
        <v>26.500001000000001</v>
      </c>
      <c r="B64" s="2">
        <f>DUT!AD65</f>
        <v>20</v>
      </c>
      <c r="C64" s="2">
        <f>DUT!AE65</f>
        <v>4</v>
      </c>
      <c r="D64" s="3">
        <f>10*LOG10((T_0+NseMeas!O64)/T_0)</f>
        <v>4.0000000000000027</v>
      </c>
      <c r="E64" s="3">
        <f>10*LOG10((T_0+NseMeas!BG64)/T_0)</f>
        <v>4.2293385483036632</v>
      </c>
      <c r="F64" s="3">
        <f>10*LOG10((T_0+NseMeas!BH64)/T_0)</f>
        <v>3.7578722367692938</v>
      </c>
      <c r="G64" s="3">
        <f>CHOOSE(SrcDispSelect,NseMeas!BF64+(IF(UseUserCal,0,K64)),N64,U64)</f>
        <v>0.22933854830366102</v>
      </c>
      <c r="H64" s="3">
        <f>CHOOSE(SrcDispSelect,NseMeas!BJ64,O64,AA64)</f>
        <v>3.0245006045761878E-2</v>
      </c>
      <c r="I64" s="3">
        <f>CHOOSE(SrcDispSelect,NseMeas!BL64,R64,Y64)</f>
        <v>0.18647543402094358</v>
      </c>
      <c r="J64" s="3">
        <f>CHOOSE(SrcDispSelect,NseMeas!BN64,Q64,Z64)</f>
        <v>0.13295619783758311</v>
      </c>
      <c r="K64" s="3">
        <f>CHOOSE(SrcDispSelect,IF(UseUserCal,NseMeas!BP64,ABS(D64-C64)),P64,AB64)</f>
        <v>2.7229219493682755E-3</v>
      </c>
      <c r="L64" s="3">
        <f>CHOOSE(SrcDispSelect,NseMeas!BR64,S64,Z64)</f>
        <v>0</v>
      </c>
      <c r="N64" s="3">
        <f>NseMeas!CC64</f>
        <v>0.18649360544435875</v>
      </c>
      <c r="O64" s="3">
        <f>NseMeas!BW64</f>
        <v>0.18647543402094358</v>
      </c>
      <c r="P64" s="2">
        <f t="shared" si="0"/>
        <v>0</v>
      </c>
      <c r="Q64" s="3">
        <f>NseMeas!CA64</f>
        <v>2.6878157133072068E-3</v>
      </c>
      <c r="R64" s="3">
        <f>NseMeas!BU64</f>
        <v>0</v>
      </c>
      <c r="S64" s="3">
        <f>NseMeas!BY64</f>
        <v>0</v>
      </c>
      <c r="U64" s="3">
        <f>Calibration!AW64</f>
        <v>2.7229219493682755E-3</v>
      </c>
      <c r="V64" s="3">
        <f>Calibration!AY64</f>
        <v>2.6379919433336028E-5</v>
      </c>
      <c r="W64" s="3">
        <f>Calibration!BG64</f>
        <v>7.9892128201410378E-6</v>
      </c>
      <c r="X64" s="3">
        <f>Calibration!BC64</f>
        <v>1.0144898708076197E-5</v>
      </c>
      <c r="Y64" s="3">
        <f>Calibration!BE64</f>
        <v>2.6878157133072068E-3</v>
      </c>
      <c r="Z64" s="3">
        <f>Calibration!BA64</f>
        <v>0</v>
      </c>
      <c r="AA64" s="3">
        <f>Calibration!BI64</f>
        <v>2.9370825516253739E-5</v>
      </c>
    </row>
    <row r="65" spans="1:27">
      <c r="A65" s="2">
        <f>MIN(StopFreqGHz+0.000001,Result!A64+FreqStep)</f>
        <v>26.500001000000001</v>
      </c>
      <c r="B65" s="2">
        <f>DUT!AD66</f>
        <v>20</v>
      </c>
      <c r="C65" s="2">
        <f>DUT!AE66</f>
        <v>4</v>
      </c>
      <c r="D65" s="3">
        <f>10*LOG10((T_0+NseMeas!O65)/T_0)</f>
        <v>4.0000000000000027</v>
      </c>
      <c r="E65" s="3">
        <f>10*LOG10((T_0+NseMeas!BG65)/T_0)</f>
        <v>4.2293385483036632</v>
      </c>
      <c r="F65" s="3">
        <f>10*LOG10((T_0+NseMeas!BH65)/T_0)</f>
        <v>3.7578722367692938</v>
      </c>
      <c r="G65" s="3">
        <f>CHOOSE(SrcDispSelect,NseMeas!BF65+(IF(UseUserCal,0,K65)),N65,U65)</f>
        <v>0.22933854830366102</v>
      </c>
      <c r="H65" s="3">
        <f>CHOOSE(SrcDispSelect,NseMeas!BJ65,O65,AA65)</f>
        <v>3.0245006045761878E-2</v>
      </c>
      <c r="I65" s="3">
        <f>CHOOSE(SrcDispSelect,NseMeas!BL65,R65,Y65)</f>
        <v>0.18647543402094358</v>
      </c>
      <c r="J65" s="3">
        <f>CHOOSE(SrcDispSelect,NseMeas!BN65,Q65,Z65)</f>
        <v>0.13295619783758311</v>
      </c>
      <c r="K65" s="3">
        <f>CHOOSE(SrcDispSelect,IF(UseUserCal,NseMeas!BP65,ABS(D65-C65)),P65,AB65)</f>
        <v>2.7229219493682755E-3</v>
      </c>
      <c r="L65" s="3">
        <f>CHOOSE(SrcDispSelect,NseMeas!BR65,S65,Z65)</f>
        <v>0</v>
      </c>
      <c r="N65" s="3">
        <f>NseMeas!CC65</f>
        <v>0.18649360544435875</v>
      </c>
      <c r="O65" s="3">
        <f>NseMeas!BW65</f>
        <v>0.18647543402094358</v>
      </c>
      <c r="P65" s="2">
        <f t="shared" si="0"/>
        <v>0</v>
      </c>
      <c r="Q65" s="3">
        <f>NseMeas!CA65</f>
        <v>2.6878157133072068E-3</v>
      </c>
      <c r="R65" s="3">
        <f>NseMeas!BU65</f>
        <v>0</v>
      </c>
      <c r="S65" s="3">
        <f>NseMeas!BY65</f>
        <v>0</v>
      </c>
      <c r="U65" s="3">
        <f>Calibration!AW65</f>
        <v>2.7229219493682755E-3</v>
      </c>
      <c r="V65" s="3">
        <f>Calibration!AY65</f>
        <v>2.6379919433336028E-5</v>
      </c>
      <c r="W65" s="3">
        <f>Calibration!BG65</f>
        <v>7.9892128201410378E-6</v>
      </c>
      <c r="X65" s="3">
        <f>Calibration!BC65</f>
        <v>1.0144898708076197E-5</v>
      </c>
      <c r="Y65" s="3">
        <f>Calibration!BE65</f>
        <v>2.6878157133072068E-3</v>
      </c>
      <c r="Z65" s="3">
        <f>Calibration!BA65</f>
        <v>0</v>
      </c>
      <c r="AA65" s="3">
        <f>Calibration!BI65</f>
        <v>2.9370825516253739E-5</v>
      </c>
    </row>
    <row r="66" spans="1:27">
      <c r="A66" s="2">
        <f>MIN(StopFreqGHz+0.000001,Result!A65+FreqStep)</f>
        <v>26.500001000000001</v>
      </c>
      <c r="B66" s="2">
        <f>DUT!AD67</f>
        <v>20</v>
      </c>
      <c r="C66" s="2">
        <f>DUT!AE67</f>
        <v>4</v>
      </c>
      <c r="D66" s="3">
        <f>10*LOG10((T_0+NseMeas!O66)/T_0)</f>
        <v>4.0000000000000027</v>
      </c>
      <c r="E66" s="3">
        <f>10*LOG10((T_0+NseMeas!BG66)/T_0)</f>
        <v>4.2293385483036632</v>
      </c>
      <c r="F66" s="3">
        <f>10*LOG10((T_0+NseMeas!BH66)/T_0)</f>
        <v>3.7578722367692938</v>
      </c>
      <c r="G66" s="3">
        <f>CHOOSE(SrcDispSelect,NseMeas!BF66+(IF(UseUserCal,0,K66)),N66,U66)</f>
        <v>0.22933854830366102</v>
      </c>
      <c r="H66" s="3">
        <f>CHOOSE(SrcDispSelect,NseMeas!BJ66,O66,AA66)</f>
        <v>3.0245006045761878E-2</v>
      </c>
      <c r="I66" s="3">
        <f>CHOOSE(SrcDispSelect,NseMeas!BL66,R66,Y66)</f>
        <v>0.18647543402094358</v>
      </c>
      <c r="J66" s="3">
        <f>CHOOSE(SrcDispSelect,NseMeas!BN66,Q66,Z66)</f>
        <v>0.13295619783758311</v>
      </c>
      <c r="K66" s="3">
        <f>CHOOSE(SrcDispSelect,IF(UseUserCal,NseMeas!BP66,ABS(D66-C66)),P66,AB66)</f>
        <v>2.7229219493682755E-3</v>
      </c>
      <c r="L66" s="3">
        <f>CHOOSE(SrcDispSelect,NseMeas!BR66,S66,Z66)</f>
        <v>0</v>
      </c>
      <c r="N66" s="3">
        <f>NseMeas!CC66</f>
        <v>0.18649360544435875</v>
      </c>
      <c r="O66" s="3">
        <f>NseMeas!BW66</f>
        <v>0.18647543402094358</v>
      </c>
      <c r="P66" s="2">
        <f t="shared" si="0"/>
        <v>0</v>
      </c>
      <c r="Q66" s="3">
        <f>NseMeas!CA66</f>
        <v>2.6878157133072068E-3</v>
      </c>
      <c r="R66" s="3">
        <f>NseMeas!BU66</f>
        <v>0</v>
      </c>
      <c r="S66" s="3">
        <f>NseMeas!BY66</f>
        <v>0</v>
      </c>
      <c r="U66" s="3">
        <f>Calibration!AW66</f>
        <v>2.7229219493682755E-3</v>
      </c>
      <c r="V66" s="3">
        <f>Calibration!AY66</f>
        <v>2.6379919433336028E-5</v>
      </c>
      <c r="W66" s="3">
        <f>Calibration!BG66</f>
        <v>7.9892128201410378E-6</v>
      </c>
      <c r="X66" s="3">
        <f>Calibration!BC66</f>
        <v>1.0144898708076197E-5</v>
      </c>
      <c r="Y66" s="3">
        <f>Calibration!BE66</f>
        <v>2.6878157133072068E-3</v>
      </c>
      <c r="Z66" s="3">
        <f>Calibration!BA66</f>
        <v>0</v>
      </c>
      <c r="AA66" s="3">
        <f>Calibration!BI66</f>
        <v>2.9370825516253739E-5</v>
      </c>
    </row>
    <row r="67" spans="1:27">
      <c r="A67" s="2">
        <f>MIN(StopFreqGHz+0.000001,Result!A66+FreqStep)</f>
        <v>26.500001000000001</v>
      </c>
      <c r="B67" s="2">
        <f>DUT!AD68</f>
        <v>20</v>
      </c>
      <c r="C67" s="2">
        <f>DUT!AE68</f>
        <v>4</v>
      </c>
      <c r="D67" s="3">
        <f>10*LOG10((T_0+NseMeas!O67)/T_0)</f>
        <v>4.0000000000000027</v>
      </c>
      <c r="E67" s="3">
        <f>10*LOG10((T_0+NseMeas!BG67)/T_0)</f>
        <v>4.2293385483036632</v>
      </c>
      <c r="F67" s="3">
        <f>10*LOG10((T_0+NseMeas!BH67)/T_0)</f>
        <v>3.7578722367692938</v>
      </c>
      <c r="G67" s="3">
        <f>CHOOSE(SrcDispSelect,NseMeas!BF67+(IF(UseUserCal,0,K67)),N67,U67)</f>
        <v>0.22933854830366102</v>
      </c>
      <c r="H67" s="3">
        <f>CHOOSE(SrcDispSelect,NseMeas!BJ67,O67,AA67)</f>
        <v>3.0245006045761878E-2</v>
      </c>
      <c r="I67" s="3">
        <f>CHOOSE(SrcDispSelect,NseMeas!BL67,R67,Y67)</f>
        <v>0.18647543402094358</v>
      </c>
      <c r="J67" s="3">
        <f>CHOOSE(SrcDispSelect,NseMeas!BN67,Q67,Z67)</f>
        <v>0.13295619783758311</v>
      </c>
      <c r="K67" s="3">
        <f>CHOOSE(SrcDispSelect,IF(UseUserCal,NseMeas!BP67,ABS(D67-C67)),P67,AB67)</f>
        <v>2.7229219493682755E-3</v>
      </c>
      <c r="L67" s="3">
        <f>CHOOSE(SrcDispSelect,NseMeas!BR67,S67,Z67)</f>
        <v>0</v>
      </c>
      <c r="N67" s="3">
        <f>NseMeas!CC67</f>
        <v>0.18649360544435875</v>
      </c>
      <c r="O67" s="3">
        <f>NseMeas!BW67</f>
        <v>0.18647543402094358</v>
      </c>
      <c r="P67" s="2">
        <f t="shared" si="0"/>
        <v>0</v>
      </c>
      <c r="Q67" s="3">
        <f>NseMeas!CA67</f>
        <v>2.6878157133072068E-3</v>
      </c>
      <c r="R67" s="3">
        <f>NseMeas!BU67</f>
        <v>0</v>
      </c>
      <c r="S67" s="3">
        <f>NseMeas!BY67</f>
        <v>0</v>
      </c>
      <c r="U67" s="3">
        <f>Calibration!AW67</f>
        <v>2.7229219493682755E-3</v>
      </c>
      <c r="V67" s="3">
        <f>Calibration!AY67</f>
        <v>2.6379919433336028E-5</v>
      </c>
      <c r="W67" s="3">
        <f>Calibration!BG67</f>
        <v>7.9892128201410378E-6</v>
      </c>
      <c r="X67" s="3">
        <f>Calibration!BC67</f>
        <v>1.0144898708076197E-5</v>
      </c>
      <c r="Y67" s="3">
        <f>Calibration!BE67</f>
        <v>2.6878157133072068E-3</v>
      </c>
      <c r="Z67" s="3">
        <f>Calibration!BA67</f>
        <v>0</v>
      </c>
      <c r="AA67" s="3">
        <f>Calibration!BI67</f>
        <v>2.9370825516253739E-5</v>
      </c>
    </row>
    <row r="68" spans="1:27">
      <c r="A68" s="2">
        <f>MIN(StopFreqGHz+0.000001,Result!A67+FreqStep)</f>
        <v>26.500001000000001</v>
      </c>
      <c r="B68" s="2">
        <f>DUT!AD69</f>
        <v>20</v>
      </c>
      <c r="C68" s="2">
        <f>DUT!AE69</f>
        <v>4</v>
      </c>
      <c r="D68" s="3">
        <f>10*LOG10((T_0+NseMeas!O68)/T_0)</f>
        <v>4.0000000000000027</v>
      </c>
      <c r="E68" s="3">
        <f>10*LOG10((T_0+NseMeas!BG68)/T_0)</f>
        <v>4.2293385483036632</v>
      </c>
      <c r="F68" s="3">
        <f>10*LOG10((T_0+NseMeas!BH68)/T_0)</f>
        <v>3.7578722367692938</v>
      </c>
      <c r="G68" s="3">
        <f>CHOOSE(SrcDispSelect,NseMeas!BF68+(IF(UseUserCal,0,K68)),N68,U68)</f>
        <v>0.22933854830366102</v>
      </c>
      <c r="H68" s="3">
        <f>CHOOSE(SrcDispSelect,NseMeas!BJ68,O68,AA68)</f>
        <v>3.0245006045761878E-2</v>
      </c>
      <c r="I68" s="3">
        <f>CHOOSE(SrcDispSelect,NseMeas!BL68,R68,Y68)</f>
        <v>0.18647543402094358</v>
      </c>
      <c r="J68" s="3">
        <f>CHOOSE(SrcDispSelect,NseMeas!BN68,Q68,Z68)</f>
        <v>0.13295619783758311</v>
      </c>
      <c r="K68" s="3">
        <f>CHOOSE(SrcDispSelect,IF(UseUserCal,NseMeas!BP68,ABS(D68-C68)),P68,AB68)</f>
        <v>2.7229219493682755E-3</v>
      </c>
      <c r="L68" s="3">
        <f>CHOOSE(SrcDispSelect,NseMeas!BR68,S68,Z68)</f>
        <v>0</v>
      </c>
      <c r="N68" s="3">
        <f>NseMeas!CC68</f>
        <v>0.18649360544435875</v>
      </c>
      <c r="O68" s="3">
        <f>NseMeas!BW68</f>
        <v>0.18647543402094358</v>
      </c>
      <c r="P68" s="2">
        <f t="shared" ref="P68:P106" si="1">S68</f>
        <v>0</v>
      </c>
      <c r="Q68" s="3">
        <f>NseMeas!CA68</f>
        <v>2.6878157133072068E-3</v>
      </c>
      <c r="R68" s="3">
        <f>NseMeas!BU68</f>
        <v>0</v>
      </c>
      <c r="S68" s="3">
        <f>NseMeas!BY68</f>
        <v>0</v>
      </c>
      <c r="U68" s="3">
        <f>Calibration!AW68</f>
        <v>2.7229219493682755E-3</v>
      </c>
      <c r="V68" s="3">
        <f>Calibration!AY68</f>
        <v>2.6379919433336028E-5</v>
      </c>
      <c r="W68" s="3">
        <f>Calibration!BG68</f>
        <v>7.9892128201410378E-6</v>
      </c>
      <c r="X68" s="3">
        <f>Calibration!BC68</f>
        <v>1.0144898708076197E-5</v>
      </c>
      <c r="Y68" s="3">
        <f>Calibration!BE68</f>
        <v>2.6878157133072068E-3</v>
      </c>
      <c r="Z68" s="3">
        <f>Calibration!BA68</f>
        <v>0</v>
      </c>
      <c r="AA68" s="3">
        <f>Calibration!BI68</f>
        <v>2.9370825516253739E-5</v>
      </c>
    </row>
    <row r="69" spans="1:27">
      <c r="A69" s="2">
        <f>MIN(StopFreqGHz+0.000001,Result!A68+FreqStep)</f>
        <v>26.500001000000001</v>
      </c>
      <c r="B69" s="2">
        <f>DUT!AD70</f>
        <v>20</v>
      </c>
      <c r="C69" s="2">
        <f>DUT!AE70</f>
        <v>4</v>
      </c>
      <c r="D69" s="3">
        <f>10*LOG10((T_0+NseMeas!O69)/T_0)</f>
        <v>4.0000000000000027</v>
      </c>
      <c r="E69" s="3">
        <f>10*LOG10((T_0+NseMeas!BG69)/T_0)</f>
        <v>4.2293385483036632</v>
      </c>
      <c r="F69" s="3">
        <f>10*LOG10((T_0+NseMeas!BH69)/T_0)</f>
        <v>3.7578722367692938</v>
      </c>
      <c r="G69" s="3">
        <f>CHOOSE(SrcDispSelect,NseMeas!BF69+(IF(UseUserCal,0,K69)),N69,U69)</f>
        <v>0.22933854830366102</v>
      </c>
      <c r="H69" s="3">
        <f>CHOOSE(SrcDispSelect,NseMeas!BJ69,O69,AA69)</f>
        <v>3.0245006045761878E-2</v>
      </c>
      <c r="I69" s="3">
        <f>CHOOSE(SrcDispSelect,NseMeas!BL69,R69,Y69)</f>
        <v>0.18647543402094358</v>
      </c>
      <c r="J69" s="3">
        <f>CHOOSE(SrcDispSelect,NseMeas!BN69,Q69,Z69)</f>
        <v>0.13295619783758311</v>
      </c>
      <c r="K69" s="3">
        <f>CHOOSE(SrcDispSelect,IF(UseUserCal,NseMeas!BP69,ABS(D69-C69)),P69,AB69)</f>
        <v>2.7229219493682755E-3</v>
      </c>
      <c r="L69" s="3">
        <f>CHOOSE(SrcDispSelect,NseMeas!BR69,S69,Z69)</f>
        <v>0</v>
      </c>
      <c r="N69" s="3">
        <f>NseMeas!CC69</f>
        <v>0.18649360544435875</v>
      </c>
      <c r="O69" s="3">
        <f>NseMeas!BW69</f>
        <v>0.18647543402094358</v>
      </c>
      <c r="P69" s="2">
        <f t="shared" si="1"/>
        <v>0</v>
      </c>
      <c r="Q69" s="3">
        <f>NseMeas!CA69</f>
        <v>2.6878157133072068E-3</v>
      </c>
      <c r="R69" s="3">
        <f>NseMeas!BU69</f>
        <v>0</v>
      </c>
      <c r="S69" s="3">
        <f>NseMeas!BY69</f>
        <v>0</v>
      </c>
      <c r="U69" s="3">
        <f>Calibration!AW69</f>
        <v>2.7229219493682755E-3</v>
      </c>
      <c r="V69" s="3">
        <f>Calibration!AY69</f>
        <v>2.6379919433336028E-5</v>
      </c>
      <c r="W69" s="3">
        <f>Calibration!BG69</f>
        <v>7.9892128201410378E-6</v>
      </c>
      <c r="X69" s="3">
        <f>Calibration!BC69</f>
        <v>1.0144898708076197E-5</v>
      </c>
      <c r="Y69" s="3">
        <f>Calibration!BE69</f>
        <v>2.6878157133072068E-3</v>
      </c>
      <c r="Z69" s="3">
        <f>Calibration!BA69</f>
        <v>0</v>
      </c>
      <c r="AA69" s="3">
        <f>Calibration!BI69</f>
        <v>2.9370825516253739E-5</v>
      </c>
    </row>
    <row r="70" spans="1:27">
      <c r="A70" s="2">
        <f>MIN(StopFreqGHz+0.000001,Result!A69+FreqStep)</f>
        <v>26.500001000000001</v>
      </c>
      <c r="B70" s="2">
        <f>DUT!AD71</f>
        <v>20</v>
      </c>
      <c r="C70" s="2">
        <f>DUT!AE71</f>
        <v>4</v>
      </c>
      <c r="D70" s="3">
        <f>10*LOG10((T_0+NseMeas!O70)/T_0)</f>
        <v>4.0000000000000027</v>
      </c>
      <c r="E70" s="3">
        <f>10*LOG10((T_0+NseMeas!BG70)/T_0)</f>
        <v>4.2293385483036632</v>
      </c>
      <c r="F70" s="3">
        <f>10*LOG10((T_0+NseMeas!BH70)/T_0)</f>
        <v>3.7578722367692938</v>
      </c>
      <c r="G70" s="3">
        <f>CHOOSE(SrcDispSelect,NseMeas!BF70+(IF(UseUserCal,0,K70)),N70,U70)</f>
        <v>0.22933854830366102</v>
      </c>
      <c r="H70" s="3">
        <f>CHOOSE(SrcDispSelect,NseMeas!BJ70,O70,AA70)</f>
        <v>3.0245006045761878E-2</v>
      </c>
      <c r="I70" s="3">
        <f>CHOOSE(SrcDispSelect,NseMeas!BL70,R70,Y70)</f>
        <v>0.18647543402094358</v>
      </c>
      <c r="J70" s="3">
        <f>CHOOSE(SrcDispSelect,NseMeas!BN70,Q70,Z70)</f>
        <v>0.13295619783758311</v>
      </c>
      <c r="K70" s="3">
        <f>CHOOSE(SrcDispSelect,IF(UseUserCal,NseMeas!BP70,ABS(D70-C70)),P70,AB70)</f>
        <v>2.7229219493682755E-3</v>
      </c>
      <c r="L70" s="3">
        <f>CHOOSE(SrcDispSelect,NseMeas!BR70,S70,Z70)</f>
        <v>0</v>
      </c>
      <c r="N70" s="3">
        <f>NseMeas!CC70</f>
        <v>0.18649360544435875</v>
      </c>
      <c r="O70" s="3">
        <f>NseMeas!BW70</f>
        <v>0.18647543402094358</v>
      </c>
      <c r="P70" s="2">
        <f t="shared" si="1"/>
        <v>0</v>
      </c>
      <c r="Q70" s="3">
        <f>NseMeas!CA70</f>
        <v>2.6878157133072068E-3</v>
      </c>
      <c r="R70" s="3">
        <f>NseMeas!BU70</f>
        <v>0</v>
      </c>
      <c r="S70" s="3">
        <f>NseMeas!BY70</f>
        <v>0</v>
      </c>
      <c r="U70" s="3">
        <f>Calibration!AW70</f>
        <v>2.7229219493682755E-3</v>
      </c>
      <c r="V70" s="3">
        <f>Calibration!AY70</f>
        <v>2.6379919433336028E-5</v>
      </c>
      <c r="W70" s="3">
        <f>Calibration!BG70</f>
        <v>7.9892128201410378E-6</v>
      </c>
      <c r="X70" s="3">
        <f>Calibration!BC70</f>
        <v>1.0144898708076197E-5</v>
      </c>
      <c r="Y70" s="3">
        <f>Calibration!BE70</f>
        <v>2.6878157133072068E-3</v>
      </c>
      <c r="Z70" s="3">
        <f>Calibration!BA70</f>
        <v>0</v>
      </c>
      <c r="AA70" s="3">
        <f>Calibration!BI70</f>
        <v>2.9370825516253739E-5</v>
      </c>
    </row>
    <row r="71" spans="1:27">
      <c r="A71" s="2">
        <f>MIN(StopFreqGHz+0.000001,Result!A70+FreqStep)</f>
        <v>26.500001000000001</v>
      </c>
      <c r="B71" s="2">
        <f>DUT!AD72</f>
        <v>20</v>
      </c>
      <c r="C71" s="2">
        <f>DUT!AE72</f>
        <v>4</v>
      </c>
      <c r="D71" s="3">
        <f>10*LOG10((T_0+NseMeas!O71)/T_0)</f>
        <v>4.0000000000000027</v>
      </c>
      <c r="E71" s="3">
        <f>10*LOG10((T_0+NseMeas!BG71)/T_0)</f>
        <v>4.2293385483036632</v>
      </c>
      <c r="F71" s="3">
        <f>10*LOG10((T_0+NseMeas!BH71)/T_0)</f>
        <v>3.7578722367692938</v>
      </c>
      <c r="G71" s="3">
        <f>CHOOSE(SrcDispSelect,NseMeas!BF71+(IF(UseUserCal,0,K71)),N71,U71)</f>
        <v>0.22933854830366102</v>
      </c>
      <c r="H71" s="3">
        <f>CHOOSE(SrcDispSelect,NseMeas!BJ71,O71,AA71)</f>
        <v>3.0245006045761878E-2</v>
      </c>
      <c r="I71" s="3">
        <f>CHOOSE(SrcDispSelect,NseMeas!BL71,R71,Y71)</f>
        <v>0.18647543402094358</v>
      </c>
      <c r="J71" s="3">
        <f>CHOOSE(SrcDispSelect,NseMeas!BN71,Q71,Z71)</f>
        <v>0.13295619783758311</v>
      </c>
      <c r="K71" s="3">
        <f>CHOOSE(SrcDispSelect,IF(UseUserCal,NseMeas!BP71,ABS(D71-C71)),P71,AB71)</f>
        <v>2.7229219493682755E-3</v>
      </c>
      <c r="L71" s="3">
        <f>CHOOSE(SrcDispSelect,NseMeas!BR71,S71,Z71)</f>
        <v>0</v>
      </c>
      <c r="N71" s="3">
        <f>NseMeas!CC71</f>
        <v>0.18649360544435875</v>
      </c>
      <c r="O71" s="3">
        <f>NseMeas!BW71</f>
        <v>0.18647543402094358</v>
      </c>
      <c r="P71" s="2">
        <f t="shared" si="1"/>
        <v>0</v>
      </c>
      <c r="Q71" s="3">
        <f>NseMeas!CA71</f>
        <v>2.6878157133072068E-3</v>
      </c>
      <c r="R71" s="3">
        <f>NseMeas!BU71</f>
        <v>0</v>
      </c>
      <c r="S71" s="3">
        <f>NseMeas!BY71</f>
        <v>0</v>
      </c>
      <c r="U71" s="3">
        <f>Calibration!AW71</f>
        <v>2.7229219493682755E-3</v>
      </c>
      <c r="V71" s="3">
        <f>Calibration!AY71</f>
        <v>2.6379919433336028E-5</v>
      </c>
      <c r="W71" s="3">
        <f>Calibration!BG71</f>
        <v>7.9892128201410378E-6</v>
      </c>
      <c r="X71" s="3">
        <f>Calibration!BC71</f>
        <v>1.0144898708076197E-5</v>
      </c>
      <c r="Y71" s="3">
        <f>Calibration!BE71</f>
        <v>2.6878157133072068E-3</v>
      </c>
      <c r="Z71" s="3">
        <f>Calibration!BA71</f>
        <v>0</v>
      </c>
      <c r="AA71" s="3">
        <f>Calibration!BI71</f>
        <v>2.9370825516253739E-5</v>
      </c>
    </row>
    <row r="72" spans="1:27">
      <c r="A72" s="2">
        <f>MIN(StopFreqGHz+0.000001,Result!A71+FreqStep)</f>
        <v>26.500001000000001</v>
      </c>
      <c r="B72" s="2">
        <f>DUT!AD73</f>
        <v>20</v>
      </c>
      <c r="C72" s="2">
        <f>DUT!AE73</f>
        <v>4</v>
      </c>
      <c r="D72" s="3">
        <f>10*LOG10((T_0+NseMeas!O72)/T_0)</f>
        <v>4.0000000000000027</v>
      </c>
      <c r="E72" s="3">
        <f>10*LOG10((T_0+NseMeas!BG72)/T_0)</f>
        <v>4.2293385483036632</v>
      </c>
      <c r="F72" s="3">
        <f>10*LOG10((T_0+NseMeas!BH72)/T_0)</f>
        <v>3.7578722367692938</v>
      </c>
      <c r="G72" s="3">
        <f>CHOOSE(SrcDispSelect,NseMeas!BF72+(IF(UseUserCal,0,K72)),N72,U72)</f>
        <v>0.22933854830366102</v>
      </c>
      <c r="H72" s="3">
        <f>CHOOSE(SrcDispSelect,NseMeas!BJ72,O72,AA72)</f>
        <v>3.0245006045761878E-2</v>
      </c>
      <c r="I72" s="3">
        <f>CHOOSE(SrcDispSelect,NseMeas!BL72,R72,Y72)</f>
        <v>0.18647543402094358</v>
      </c>
      <c r="J72" s="3">
        <f>CHOOSE(SrcDispSelect,NseMeas!BN72,Q72,Z72)</f>
        <v>0.13295619783758311</v>
      </c>
      <c r="K72" s="3">
        <f>CHOOSE(SrcDispSelect,IF(UseUserCal,NseMeas!BP72,ABS(D72-C72)),P72,AB72)</f>
        <v>2.7229219493682755E-3</v>
      </c>
      <c r="L72" s="3">
        <f>CHOOSE(SrcDispSelect,NseMeas!BR72,S72,Z72)</f>
        <v>0</v>
      </c>
      <c r="N72" s="3">
        <f>NseMeas!CC72</f>
        <v>0.18649360544435875</v>
      </c>
      <c r="O72" s="3">
        <f>NseMeas!BW72</f>
        <v>0.18647543402094358</v>
      </c>
      <c r="P72" s="2">
        <f t="shared" si="1"/>
        <v>0</v>
      </c>
      <c r="Q72" s="3">
        <f>NseMeas!CA72</f>
        <v>2.6878157133072068E-3</v>
      </c>
      <c r="R72" s="3">
        <f>NseMeas!BU72</f>
        <v>0</v>
      </c>
      <c r="S72" s="3">
        <f>NseMeas!BY72</f>
        <v>0</v>
      </c>
      <c r="U72" s="3">
        <f>Calibration!AW72</f>
        <v>2.7229219493682755E-3</v>
      </c>
      <c r="V72" s="3">
        <f>Calibration!AY72</f>
        <v>2.6379919433336028E-5</v>
      </c>
      <c r="W72" s="3">
        <f>Calibration!BG72</f>
        <v>7.9892128201410378E-6</v>
      </c>
      <c r="X72" s="3">
        <f>Calibration!BC72</f>
        <v>1.0144898708076197E-5</v>
      </c>
      <c r="Y72" s="3">
        <f>Calibration!BE72</f>
        <v>2.6878157133072068E-3</v>
      </c>
      <c r="Z72" s="3">
        <f>Calibration!BA72</f>
        <v>0</v>
      </c>
      <c r="AA72" s="3">
        <f>Calibration!BI72</f>
        <v>2.9370825516253739E-5</v>
      </c>
    </row>
    <row r="73" spans="1:27">
      <c r="A73" s="2">
        <f>MIN(StopFreqGHz+0.000001,Result!A72+FreqStep)</f>
        <v>26.500001000000001</v>
      </c>
      <c r="B73" s="2">
        <f>DUT!AD74</f>
        <v>20</v>
      </c>
      <c r="C73" s="2">
        <f>DUT!AE74</f>
        <v>4</v>
      </c>
      <c r="D73" s="3">
        <f>10*LOG10((T_0+NseMeas!O73)/T_0)</f>
        <v>4.0000000000000027</v>
      </c>
      <c r="E73" s="3">
        <f>10*LOG10((T_0+NseMeas!BG73)/T_0)</f>
        <v>4.2293385483036632</v>
      </c>
      <c r="F73" s="3">
        <f>10*LOG10((T_0+NseMeas!BH73)/T_0)</f>
        <v>3.7578722367692938</v>
      </c>
      <c r="G73" s="3">
        <f>CHOOSE(SrcDispSelect,NseMeas!BF73+(IF(UseUserCal,0,K73)),N73,U73)</f>
        <v>0.22933854830366102</v>
      </c>
      <c r="H73" s="3">
        <f>CHOOSE(SrcDispSelect,NseMeas!BJ73,O73,AA73)</f>
        <v>3.0245006045761878E-2</v>
      </c>
      <c r="I73" s="3">
        <f>CHOOSE(SrcDispSelect,NseMeas!BL73,R73,Y73)</f>
        <v>0.18647543402094358</v>
      </c>
      <c r="J73" s="3">
        <f>CHOOSE(SrcDispSelect,NseMeas!BN73,Q73,Z73)</f>
        <v>0.13295619783758311</v>
      </c>
      <c r="K73" s="3">
        <f>CHOOSE(SrcDispSelect,IF(UseUserCal,NseMeas!BP73,ABS(D73-C73)),P73,AB73)</f>
        <v>2.7229219493682755E-3</v>
      </c>
      <c r="L73" s="3">
        <f>CHOOSE(SrcDispSelect,NseMeas!BR73,S73,Z73)</f>
        <v>0</v>
      </c>
      <c r="N73" s="3">
        <f>NseMeas!CC73</f>
        <v>0.18649360544435875</v>
      </c>
      <c r="O73" s="3">
        <f>NseMeas!BW73</f>
        <v>0.18647543402094358</v>
      </c>
      <c r="P73" s="2">
        <f t="shared" si="1"/>
        <v>0</v>
      </c>
      <c r="Q73" s="3">
        <f>NseMeas!CA73</f>
        <v>2.6878157133072068E-3</v>
      </c>
      <c r="R73" s="3">
        <f>NseMeas!BU73</f>
        <v>0</v>
      </c>
      <c r="S73" s="3">
        <f>NseMeas!BY73</f>
        <v>0</v>
      </c>
      <c r="U73" s="3">
        <f>Calibration!AW73</f>
        <v>2.7229219493682755E-3</v>
      </c>
      <c r="V73" s="3">
        <f>Calibration!AY73</f>
        <v>2.6379919433336028E-5</v>
      </c>
      <c r="W73" s="3">
        <f>Calibration!BG73</f>
        <v>7.9892128201410378E-6</v>
      </c>
      <c r="X73" s="3">
        <f>Calibration!BC73</f>
        <v>1.0144898708076197E-5</v>
      </c>
      <c r="Y73" s="3">
        <f>Calibration!BE73</f>
        <v>2.6878157133072068E-3</v>
      </c>
      <c r="Z73" s="3">
        <f>Calibration!BA73</f>
        <v>0</v>
      </c>
      <c r="AA73" s="3">
        <f>Calibration!BI73</f>
        <v>2.9370825516253739E-5</v>
      </c>
    </row>
    <row r="74" spans="1:27">
      <c r="A74" s="2">
        <f>MIN(StopFreqGHz+0.000001,Result!A73+FreqStep)</f>
        <v>26.500001000000001</v>
      </c>
      <c r="B74" s="2">
        <f>DUT!AD75</f>
        <v>20</v>
      </c>
      <c r="C74" s="2">
        <f>DUT!AE75</f>
        <v>4</v>
      </c>
      <c r="D74" s="3">
        <f>10*LOG10((T_0+NseMeas!O74)/T_0)</f>
        <v>4.0000000000000027</v>
      </c>
      <c r="E74" s="3">
        <f>10*LOG10((T_0+NseMeas!BG74)/T_0)</f>
        <v>4.2293385483036632</v>
      </c>
      <c r="F74" s="3">
        <f>10*LOG10((T_0+NseMeas!BH74)/T_0)</f>
        <v>3.7578722367692938</v>
      </c>
      <c r="G74" s="3">
        <f>CHOOSE(SrcDispSelect,NseMeas!BF74+(IF(UseUserCal,0,K74)),N74,U74)</f>
        <v>0.22933854830366102</v>
      </c>
      <c r="H74" s="3">
        <f>CHOOSE(SrcDispSelect,NseMeas!BJ74,O74,AA74)</f>
        <v>3.0245006045761878E-2</v>
      </c>
      <c r="I74" s="3">
        <f>CHOOSE(SrcDispSelect,NseMeas!BL74,R74,Y74)</f>
        <v>0.18647543402094358</v>
      </c>
      <c r="J74" s="3">
        <f>CHOOSE(SrcDispSelect,NseMeas!BN74,Q74,Z74)</f>
        <v>0.13295619783758311</v>
      </c>
      <c r="K74" s="3">
        <f>CHOOSE(SrcDispSelect,IF(UseUserCal,NseMeas!BP74,ABS(D74-C74)),P74,AB74)</f>
        <v>2.7229219493682755E-3</v>
      </c>
      <c r="L74" s="3">
        <f>CHOOSE(SrcDispSelect,NseMeas!BR74,S74,Z74)</f>
        <v>0</v>
      </c>
      <c r="N74" s="3">
        <f>NseMeas!CC74</f>
        <v>0.18649360544435875</v>
      </c>
      <c r="O74" s="3">
        <f>NseMeas!BW74</f>
        <v>0.18647543402094358</v>
      </c>
      <c r="P74" s="2">
        <f t="shared" si="1"/>
        <v>0</v>
      </c>
      <c r="Q74" s="3">
        <f>NseMeas!CA74</f>
        <v>2.6878157133072068E-3</v>
      </c>
      <c r="R74" s="3">
        <f>NseMeas!BU74</f>
        <v>0</v>
      </c>
      <c r="S74" s="3">
        <f>NseMeas!BY74</f>
        <v>0</v>
      </c>
      <c r="U74" s="3">
        <f>Calibration!AW74</f>
        <v>2.7229219493682755E-3</v>
      </c>
      <c r="V74" s="3">
        <f>Calibration!AY74</f>
        <v>2.6379919433336028E-5</v>
      </c>
      <c r="W74" s="3">
        <f>Calibration!BG74</f>
        <v>7.9892128201410378E-6</v>
      </c>
      <c r="X74" s="3">
        <f>Calibration!BC74</f>
        <v>1.0144898708076197E-5</v>
      </c>
      <c r="Y74" s="3">
        <f>Calibration!BE74</f>
        <v>2.6878157133072068E-3</v>
      </c>
      <c r="Z74" s="3">
        <f>Calibration!BA74</f>
        <v>0</v>
      </c>
      <c r="AA74" s="3">
        <f>Calibration!BI74</f>
        <v>2.9370825516253739E-5</v>
      </c>
    </row>
    <row r="75" spans="1:27">
      <c r="A75" s="2">
        <f>MIN(StopFreqGHz+0.000001,Result!A74+FreqStep)</f>
        <v>26.500001000000001</v>
      </c>
      <c r="B75" s="2">
        <f>DUT!AD76</f>
        <v>20</v>
      </c>
      <c r="C75" s="2">
        <f>DUT!AE76</f>
        <v>4</v>
      </c>
      <c r="D75" s="3">
        <f>10*LOG10((T_0+NseMeas!O75)/T_0)</f>
        <v>4.0000000000000027</v>
      </c>
      <c r="E75" s="3">
        <f>10*LOG10((T_0+NseMeas!BG75)/T_0)</f>
        <v>4.2293385483036632</v>
      </c>
      <c r="F75" s="3">
        <f>10*LOG10((T_0+NseMeas!BH75)/T_0)</f>
        <v>3.7578722367692938</v>
      </c>
      <c r="G75" s="3">
        <f>CHOOSE(SrcDispSelect,NseMeas!BF75+(IF(UseUserCal,0,K75)),N75,U75)</f>
        <v>0.22933854830366102</v>
      </c>
      <c r="H75" s="3">
        <f>CHOOSE(SrcDispSelect,NseMeas!BJ75,O75,AA75)</f>
        <v>3.0245006045761878E-2</v>
      </c>
      <c r="I75" s="3">
        <f>CHOOSE(SrcDispSelect,NseMeas!BL75,R75,Y75)</f>
        <v>0.18647543402094358</v>
      </c>
      <c r="J75" s="3">
        <f>CHOOSE(SrcDispSelect,NseMeas!BN75,Q75,Z75)</f>
        <v>0.13295619783758311</v>
      </c>
      <c r="K75" s="3">
        <f>CHOOSE(SrcDispSelect,IF(UseUserCal,NseMeas!BP75,ABS(D75-C75)),P75,AB75)</f>
        <v>2.7229219493682755E-3</v>
      </c>
      <c r="L75" s="3">
        <f>CHOOSE(SrcDispSelect,NseMeas!BR75,S75,Z75)</f>
        <v>0</v>
      </c>
      <c r="N75" s="3">
        <f>NseMeas!CC75</f>
        <v>0.18649360544435875</v>
      </c>
      <c r="O75" s="3">
        <f>NseMeas!BW75</f>
        <v>0.18647543402094358</v>
      </c>
      <c r="P75" s="2">
        <f t="shared" si="1"/>
        <v>0</v>
      </c>
      <c r="Q75" s="3">
        <f>NseMeas!CA75</f>
        <v>2.6878157133072068E-3</v>
      </c>
      <c r="R75" s="3">
        <f>NseMeas!BU75</f>
        <v>0</v>
      </c>
      <c r="S75" s="3">
        <f>NseMeas!BY75</f>
        <v>0</v>
      </c>
      <c r="U75" s="3">
        <f>Calibration!AW75</f>
        <v>2.7229219493682755E-3</v>
      </c>
      <c r="V75" s="3">
        <f>Calibration!AY75</f>
        <v>2.6379919433336028E-5</v>
      </c>
      <c r="W75" s="3">
        <f>Calibration!BG75</f>
        <v>7.9892128201410378E-6</v>
      </c>
      <c r="X75" s="3">
        <f>Calibration!BC75</f>
        <v>1.0144898708076197E-5</v>
      </c>
      <c r="Y75" s="3">
        <f>Calibration!BE75</f>
        <v>2.6878157133072068E-3</v>
      </c>
      <c r="Z75" s="3">
        <f>Calibration!BA75</f>
        <v>0</v>
      </c>
      <c r="AA75" s="3">
        <f>Calibration!BI75</f>
        <v>2.9370825516253739E-5</v>
      </c>
    </row>
    <row r="76" spans="1:27">
      <c r="A76" s="2">
        <f>MIN(StopFreqGHz+0.000001,Result!A75+FreqStep)</f>
        <v>26.500001000000001</v>
      </c>
      <c r="B76" s="2">
        <f>DUT!AD77</f>
        <v>20</v>
      </c>
      <c r="C76" s="2">
        <f>DUT!AE77</f>
        <v>4</v>
      </c>
      <c r="D76" s="3">
        <f>10*LOG10((T_0+NseMeas!O76)/T_0)</f>
        <v>4.0000000000000027</v>
      </c>
      <c r="E76" s="3">
        <f>10*LOG10((T_0+NseMeas!BG76)/T_0)</f>
        <v>4.2293385483036632</v>
      </c>
      <c r="F76" s="3">
        <f>10*LOG10((T_0+NseMeas!BH76)/T_0)</f>
        <v>3.7578722367692938</v>
      </c>
      <c r="G76" s="3">
        <f>CHOOSE(SrcDispSelect,NseMeas!BF76+(IF(UseUserCal,0,K76)),N76,U76)</f>
        <v>0.22933854830366102</v>
      </c>
      <c r="H76" s="3">
        <f>CHOOSE(SrcDispSelect,NseMeas!BJ76,O76,AA76)</f>
        <v>3.0245006045761878E-2</v>
      </c>
      <c r="I76" s="3">
        <f>CHOOSE(SrcDispSelect,NseMeas!BL76,R76,Y76)</f>
        <v>0.18647543402094358</v>
      </c>
      <c r="J76" s="3">
        <f>CHOOSE(SrcDispSelect,NseMeas!BN76,Q76,Z76)</f>
        <v>0.13295619783758311</v>
      </c>
      <c r="K76" s="3">
        <f>CHOOSE(SrcDispSelect,IF(UseUserCal,NseMeas!BP76,ABS(D76-C76)),P76,AB76)</f>
        <v>2.7229219493682755E-3</v>
      </c>
      <c r="L76" s="3">
        <f>CHOOSE(SrcDispSelect,NseMeas!BR76,S76,Z76)</f>
        <v>0</v>
      </c>
      <c r="N76" s="3">
        <f>NseMeas!CC76</f>
        <v>0.18649360544435875</v>
      </c>
      <c r="O76" s="3">
        <f>NseMeas!BW76</f>
        <v>0.18647543402094358</v>
      </c>
      <c r="P76" s="2">
        <f t="shared" si="1"/>
        <v>0</v>
      </c>
      <c r="Q76" s="3">
        <f>NseMeas!CA76</f>
        <v>2.6878157133072068E-3</v>
      </c>
      <c r="R76" s="3">
        <f>NseMeas!BU76</f>
        <v>0</v>
      </c>
      <c r="S76" s="3">
        <f>NseMeas!BY76</f>
        <v>0</v>
      </c>
      <c r="U76" s="3">
        <f>Calibration!AW76</f>
        <v>2.7229219493682755E-3</v>
      </c>
      <c r="V76" s="3">
        <f>Calibration!AY76</f>
        <v>2.6379919433336028E-5</v>
      </c>
      <c r="W76" s="3">
        <f>Calibration!BG76</f>
        <v>7.9892128201410378E-6</v>
      </c>
      <c r="X76" s="3">
        <f>Calibration!BC76</f>
        <v>1.0144898708076197E-5</v>
      </c>
      <c r="Y76" s="3">
        <f>Calibration!BE76</f>
        <v>2.6878157133072068E-3</v>
      </c>
      <c r="Z76" s="3">
        <f>Calibration!BA76</f>
        <v>0</v>
      </c>
      <c r="AA76" s="3">
        <f>Calibration!BI76</f>
        <v>2.9370825516253739E-5</v>
      </c>
    </row>
    <row r="77" spans="1:27">
      <c r="A77" s="2">
        <f>MIN(StopFreqGHz+0.000001,Result!A76+FreqStep)</f>
        <v>26.500001000000001</v>
      </c>
      <c r="B77" s="2">
        <f>DUT!AD78</f>
        <v>20</v>
      </c>
      <c r="C77" s="2">
        <f>DUT!AE78</f>
        <v>4</v>
      </c>
      <c r="D77" s="3">
        <f>10*LOG10((T_0+NseMeas!O77)/T_0)</f>
        <v>4.0000000000000027</v>
      </c>
      <c r="E77" s="3">
        <f>10*LOG10((T_0+NseMeas!BG77)/T_0)</f>
        <v>4.2293385483036632</v>
      </c>
      <c r="F77" s="3">
        <f>10*LOG10((T_0+NseMeas!BH77)/T_0)</f>
        <v>3.7578722367692938</v>
      </c>
      <c r="G77" s="3">
        <f>CHOOSE(SrcDispSelect,NseMeas!BF77+(IF(UseUserCal,0,K77)),N77,U77)</f>
        <v>0.22933854830366102</v>
      </c>
      <c r="H77" s="3">
        <f>CHOOSE(SrcDispSelect,NseMeas!BJ77,O77,AA77)</f>
        <v>3.0245006045761878E-2</v>
      </c>
      <c r="I77" s="3">
        <f>CHOOSE(SrcDispSelect,NseMeas!BL77,R77,Y77)</f>
        <v>0.18647543402094358</v>
      </c>
      <c r="J77" s="3">
        <f>CHOOSE(SrcDispSelect,NseMeas!BN77,Q77,Z77)</f>
        <v>0.13295619783758311</v>
      </c>
      <c r="K77" s="3">
        <f>CHOOSE(SrcDispSelect,IF(UseUserCal,NseMeas!BP77,ABS(D77-C77)),P77,AB77)</f>
        <v>2.7229219493682755E-3</v>
      </c>
      <c r="L77" s="3">
        <f>CHOOSE(SrcDispSelect,NseMeas!BR77,S77,Z77)</f>
        <v>0</v>
      </c>
      <c r="N77" s="3">
        <f>NseMeas!CC77</f>
        <v>0.18649360544435875</v>
      </c>
      <c r="O77" s="3">
        <f>NseMeas!BW77</f>
        <v>0.18647543402094358</v>
      </c>
      <c r="P77" s="2">
        <f t="shared" si="1"/>
        <v>0</v>
      </c>
      <c r="Q77" s="3">
        <f>NseMeas!CA77</f>
        <v>2.6878157133072068E-3</v>
      </c>
      <c r="R77" s="3">
        <f>NseMeas!BU77</f>
        <v>0</v>
      </c>
      <c r="S77" s="3">
        <f>NseMeas!BY77</f>
        <v>0</v>
      </c>
      <c r="U77" s="3">
        <f>Calibration!AW77</f>
        <v>2.7229219493682755E-3</v>
      </c>
      <c r="V77" s="3">
        <f>Calibration!AY77</f>
        <v>2.6379919433336028E-5</v>
      </c>
      <c r="W77" s="3">
        <f>Calibration!BG77</f>
        <v>7.9892128201410378E-6</v>
      </c>
      <c r="X77" s="3">
        <f>Calibration!BC77</f>
        <v>1.0144898708076197E-5</v>
      </c>
      <c r="Y77" s="3">
        <f>Calibration!BE77</f>
        <v>2.6878157133072068E-3</v>
      </c>
      <c r="Z77" s="3">
        <f>Calibration!BA77</f>
        <v>0</v>
      </c>
      <c r="AA77" s="3">
        <f>Calibration!BI77</f>
        <v>2.9370825516253739E-5</v>
      </c>
    </row>
    <row r="78" spans="1:27">
      <c r="A78" s="2">
        <f>MIN(StopFreqGHz+0.000001,Result!A77+FreqStep)</f>
        <v>26.500001000000001</v>
      </c>
      <c r="B78" s="2">
        <f>DUT!AD79</f>
        <v>20</v>
      </c>
      <c r="C78" s="2">
        <f>DUT!AE79</f>
        <v>4</v>
      </c>
      <c r="D78" s="3">
        <f>10*LOG10((T_0+NseMeas!O78)/T_0)</f>
        <v>4.0000000000000027</v>
      </c>
      <c r="E78" s="3">
        <f>10*LOG10((T_0+NseMeas!BG78)/T_0)</f>
        <v>4.2293385483036632</v>
      </c>
      <c r="F78" s="3">
        <f>10*LOG10((T_0+NseMeas!BH78)/T_0)</f>
        <v>3.7578722367692938</v>
      </c>
      <c r="G78" s="3">
        <f>CHOOSE(SrcDispSelect,NseMeas!BF78+(IF(UseUserCal,0,K78)),N78,U78)</f>
        <v>0.22933854830366102</v>
      </c>
      <c r="H78" s="3">
        <f>CHOOSE(SrcDispSelect,NseMeas!BJ78,O78,AA78)</f>
        <v>3.0245006045761878E-2</v>
      </c>
      <c r="I78" s="3">
        <f>CHOOSE(SrcDispSelect,NseMeas!BL78,R78,Y78)</f>
        <v>0.18647543402094358</v>
      </c>
      <c r="J78" s="3">
        <f>CHOOSE(SrcDispSelect,NseMeas!BN78,Q78,Z78)</f>
        <v>0.13295619783758311</v>
      </c>
      <c r="K78" s="3">
        <f>CHOOSE(SrcDispSelect,IF(UseUserCal,NseMeas!BP78,ABS(D78-C78)),P78,AB78)</f>
        <v>2.7229219493682755E-3</v>
      </c>
      <c r="L78" s="3">
        <f>CHOOSE(SrcDispSelect,NseMeas!BR78,S78,Z78)</f>
        <v>0</v>
      </c>
      <c r="N78" s="3">
        <f>NseMeas!CC78</f>
        <v>0.18649360544435875</v>
      </c>
      <c r="O78" s="3">
        <f>NseMeas!BW78</f>
        <v>0.18647543402094358</v>
      </c>
      <c r="P78" s="2">
        <f t="shared" si="1"/>
        <v>0</v>
      </c>
      <c r="Q78" s="3">
        <f>NseMeas!CA78</f>
        <v>2.6878157133072068E-3</v>
      </c>
      <c r="R78" s="3">
        <f>NseMeas!BU78</f>
        <v>0</v>
      </c>
      <c r="S78" s="3">
        <f>NseMeas!BY78</f>
        <v>0</v>
      </c>
      <c r="U78" s="3">
        <f>Calibration!AW78</f>
        <v>2.7229219493682755E-3</v>
      </c>
      <c r="V78" s="3">
        <f>Calibration!AY78</f>
        <v>2.6379919433336028E-5</v>
      </c>
      <c r="W78" s="3">
        <f>Calibration!BG78</f>
        <v>7.9892128201410378E-6</v>
      </c>
      <c r="X78" s="3">
        <f>Calibration!BC78</f>
        <v>1.0144898708076197E-5</v>
      </c>
      <c r="Y78" s="3">
        <f>Calibration!BE78</f>
        <v>2.6878157133072068E-3</v>
      </c>
      <c r="Z78" s="3">
        <f>Calibration!BA78</f>
        <v>0</v>
      </c>
      <c r="AA78" s="3">
        <f>Calibration!BI78</f>
        <v>2.9370825516253739E-5</v>
      </c>
    </row>
    <row r="79" spans="1:27">
      <c r="A79" s="2">
        <f>MIN(StopFreqGHz+0.000001,Result!A78+FreqStep)</f>
        <v>26.500001000000001</v>
      </c>
      <c r="B79" s="2">
        <f>DUT!AD80</f>
        <v>20</v>
      </c>
      <c r="C79" s="2">
        <f>DUT!AE80</f>
        <v>4</v>
      </c>
      <c r="D79" s="3">
        <f>10*LOG10((T_0+NseMeas!O79)/T_0)</f>
        <v>4.0000000000000027</v>
      </c>
      <c r="E79" s="3">
        <f>10*LOG10((T_0+NseMeas!BG79)/T_0)</f>
        <v>4.2293385483036632</v>
      </c>
      <c r="F79" s="3">
        <f>10*LOG10((T_0+NseMeas!BH79)/T_0)</f>
        <v>3.7578722367692938</v>
      </c>
      <c r="G79" s="3">
        <f>CHOOSE(SrcDispSelect,NseMeas!BF79+(IF(UseUserCal,0,K79)),N79,U79)</f>
        <v>0.22933854830366102</v>
      </c>
      <c r="H79" s="3">
        <f>CHOOSE(SrcDispSelect,NseMeas!BJ79,O79,AA79)</f>
        <v>3.0245006045761878E-2</v>
      </c>
      <c r="I79" s="3">
        <f>CHOOSE(SrcDispSelect,NseMeas!BL79,R79,Y79)</f>
        <v>0.18647543402094358</v>
      </c>
      <c r="J79" s="3">
        <f>CHOOSE(SrcDispSelect,NseMeas!BN79,Q79,Z79)</f>
        <v>0.13295619783758311</v>
      </c>
      <c r="K79" s="3">
        <f>CHOOSE(SrcDispSelect,IF(UseUserCal,NseMeas!BP79,ABS(D79-C79)),P79,AB79)</f>
        <v>2.7229219493682755E-3</v>
      </c>
      <c r="L79" s="3">
        <f>CHOOSE(SrcDispSelect,NseMeas!BR79,S79,Z79)</f>
        <v>0</v>
      </c>
      <c r="N79" s="3">
        <f>NseMeas!CC79</f>
        <v>0.18649360544435875</v>
      </c>
      <c r="O79" s="3">
        <f>NseMeas!BW79</f>
        <v>0.18647543402094358</v>
      </c>
      <c r="P79" s="2">
        <f t="shared" si="1"/>
        <v>0</v>
      </c>
      <c r="Q79" s="3">
        <f>NseMeas!CA79</f>
        <v>2.6878157133072068E-3</v>
      </c>
      <c r="R79" s="3">
        <f>NseMeas!BU79</f>
        <v>0</v>
      </c>
      <c r="S79" s="3">
        <f>NseMeas!BY79</f>
        <v>0</v>
      </c>
      <c r="U79" s="3">
        <f>Calibration!AW79</f>
        <v>2.7229219493682755E-3</v>
      </c>
      <c r="V79" s="3">
        <f>Calibration!AY79</f>
        <v>2.6379919433336028E-5</v>
      </c>
      <c r="W79" s="3">
        <f>Calibration!BG79</f>
        <v>7.9892128201410378E-6</v>
      </c>
      <c r="X79" s="3">
        <f>Calibration!BC79</f>
        <v>1.0144898708076197E-5</v>
      </c>
      <c r="Y79" s="3">
        <f>Calibration!BE79</f>
        <v>2.6878157133072068E-3</v>
      </c>
      <c r="Z79" s="3">
        <f>Calibration!BA79</f>
        <v>0</v>
      </c>
      <c r="AA79" s="3">
        <f>Calibration!BI79</f>
        <v>2.9370825516253739E-5</v>
      </c>
    </row>
    <row r="80" spans="1:27">
      <c r="A80" s="2">
        <f>MIN(StopFreqGHz+0.000001,Result!A79+FreqStep)</f>
        <v>26.500001000000001</v>
      </c>
      <c r="B80" s="2">
        <f>DUT!AD81</f>
        <v>20</v>
      </c>
      <c r="C80" s="2">
        <f>DUT!AE81</f>
        <v>4</v>
      </c>
      <c r="D80" s="3">
        <f>10*LOG10((T_0+NseMeas!O80)/T_0)</f>
        <v>4.0000000000000027</v>
      </c>
      <c r="E80" s="3">
        <f>10*LOG10((T_0+NseMeas!BG80)/T_0)</f>
        <v>4.2293385483036632</v>
      </c>
      <c r="F80" s="3">
        <f>10*LOG10((T_0+NseMeas!BH80)/T_0)</f>
        <v>3.7578722367692938</v>
      </c>
      <c r="G80" s="3">
        <f>CHOOSE(SrcDispSelect,NseMeas!BF80+(IF(UseUserCal,0,K80)),N80,U80)</f>
        <v>0.22933854830366102</v>
      </c>
      <c r="H80" s="3">
        <f>CHOOSE(SrcDispSelect,NseMeas!BJ80,O80,AA80)</f>
        <v>3.0245006045761878E-2</v>
      </c>
      <c r="I80" s="3">
        <f>CHOOSE(SrcDispSelect,NseMeas!BL80,R80,Y80)</f>
        <v>0.18647543402094358</v>
      </c>
      <c r="J80" s="3">
        <f>CHOOSE(SrcDispSelect,NseMeas!BN80,Q80,Z80)</f>
        <v>0.13295619783758311</v>
      </c>
      <c r="K80" s="3">
        <f>CHOOSE(SrcDispSelect,IF(UseUserCal,NseMeas!BP80,ABS(D80-C80)),P80,AB80)</f>
        <v>2.7229219493682755E-3</v>
      </c>
      <c r="L80" s="3">
        <f>CHOOSE(SrcDispSelect,NseMeas!BR80,S80,Z80)</f>
        <v>0</v>
      </c>
      <c r="N80" s="3">
        <f>NseMeas!CC80</f>
        <v>0.18649360544435875</v>
      </c>
      <c r="O80" s="3">
        <f>NseMeas!BW80</f>
        <v>0.18647543402094358</v>
      </c>
      <c r="P80" s="2">
        <f t="shared" si="1"/>
        <v>0</v>
      </c>
      <c r="Q80" s="3">
        <f>NseMeas!CA80</f>
        <v>2.6878157133072068E-3</v>
      </c>
      <c r="R80" s="3">
        <f>NseMeas!BU80</f>
        <v>0</v>
      </c>
      <c r="S80" s="3">
        <f>NseMeas!BY80</f>
        <v>0</v>
      </c>
      <c r="U80" s="3">
        <f>Calibration!AW80</f>
        <v>2.7229219493682755E-3</v>
      </c>
      <c r="V80" s="3">
        <f>Calibration!AY80</f>
        <v>2.6379919433336028E-5</v>
      </c>
      <c r="W80" s="3">
        <f>Calibration!BG80</f>
        <v>7.9892128201410378E-6</v>
      </c>
      <c r="X80" s="3">
        <f>Calibration!BC80</f>
        <v>1.0144898708076197E-5</v>
      </c>
      <c r="Y80" s="3">
        <f>Calibration!BE80</f>
        <v>2.6878157133072068E-3</v>
      </c>
      <c r="Z80" s="3">
        <f>Calibration!BA80</f>
        <v>0</v>
      </c>
      <c r="AA80" s="3">
        <f>Calibration!BI80</f>
        <v>2.9370825516253739E-5</v>
      </c>
    </row>
    <row r="81" spans="1:27">
      <c r="A81" s="2">
        <f>MIN(StopFreqGHz+0.000001,Result!A80+FreqStep)</f>
        <v>26.500001000000001</v>
      </c>
      <c r="B81" s="2">
        <f>DUT!AD82</f>
        <v>20</v>
      </c>
      <c r="C81" s="2">
        <f>DUT!AE82</f>
        <v>4</v>
      </c>
      <c r="D81" s="3">
        <f>10*LOG10((T_0+NseMeas!O81)/T_0)</f>
        <v>4.0000000000000027</v>
      </c>
      <c r="E81" s="3">
        <f>10*LOG10((T_0+NseMeas!BG81)/T_0)</f>
        <v>4.2293385483036632</v>
      </c>
      <c r="F81" s="3">
        <f>10*LOG10((T_0+NseMeas!BH81)/T_0)</f>
        <v>3.7578722367692938</v>
      </c>
      <c r="G81" s="3">
        <f>CHOOSE(SrcDispSelect,NseMeas!BF81+(IF(UseUserCal,0,K81)),N81,U81)</f>
        <v>0.22933854830366102</v>
      </c>
      <c r="H81" s="3">
        <f>CHOOSE(SrcDispSelect,NseMeas!BJ81,O81,AA81)</f>
        <v>3.0245006045761878E-2</v>
      </c>
      <c r="I81" s="3">
        <f>CHOOSE(SrcDispSelect,NseMeas!BL81,R81,Y81)</f>
        <v>0.18647543402094358</v>
      </c>
      <c r="J81" s="3">
        <f>CHOOSE(SrcDispSelect,NseMeas!BN81,Q81,Z81)</f>
        <v>0.13295619783758311</v>
      </c>
      <c r="K81" s="3">
        <f>CHOOSE(SrcDispSelect,IF(UseUserCal,NseMeas!BP81,ABS(D81-C81)),P81,AB81)</f>
        <v>2.7229219493682755E-3</v>
      </c>
      <c r="L81" s="3">
        <f>CHOOSE(SrcDispSelect,NseMeas!BR81,S81,Z81)</f>
        <v>0</v>
      </c>
      <c r="N81" s="3">
        <f>NseMeas!CC81</f>
        <v>0.18649360544435875</v>
      </c>
      <c r="O81" s="3">
        <f>NseMeas!BW81</f>
        <v>0.18647543402094358</v>
      </c>
      <c r="P81" s="2">
        <f t="shared" si="1"/>
        <v>0</v>
      </c>
      <c r="Q81" s="3">
        <f>NseMeas!CA81</f>
        <v>2.6878157133072068E-3</v>
      </c>
      <c r="R81" s="3">
        <f>NseMeas!BU81</f>
        <v>0</v>
      </c>
      <c r="S81" s="3">
        <f>NseMeas!BY81</f>
        <v>0</v>
      </c>
      <c r="U81" s="3">
        <f>Calibration!AW81</f>
        <v>2.7229219493682755E-3</v>
      </c>
      <c r="V81" s="3">
        <f>Calibration!AY81</f>
        <v>2.6379919433336028E-5</v>
      </c>
      <c r="W81" s="3">
        <f>Calibration!BG81</f>
        <v>7.9892128201410378E-6</v>
      </c>
      <c r="X81" s="3">
        <f>Calibration!BC81</f>
        <v>1.0144898708076197E-5</v>
      </c>
      <c r="Y81" s="3">
        <f>Calibration!BE81</f>
        <v>2.6878157133072068E-3</v>
      </c>
      <c r="Z81" s="3">
        <f>Calibration!BA81</f>
        <v>0</v>
      </c>
      <c r="AA81" s="3">
        <f>Calibration!BI81</f>
        <v>2.9370825516253739E-5</v>
      </c>
    </row>
    <row r="82" spans="1:27">
      <c r="A82" s="2">
        <f>MIN(StopFreqGHz+0.000001,Result!A81+FreqStep)</f>
        <v>26.500001000000001</v>
      </c>
      <c r="B82" s="2">
        <f>DUT!AD83</f>
        <v>20</v>
      </c>
      <c r="C82" s="2">
        <f>DUT!AE83</f>
        <v>4</v>
      </c>
      <c r="D82" s="3">
        <f>10*LOG10((T_0+NseMeas!O82)/T_0)</f>
        <v>4.0000000000000027</v>
      </c>
      <c r="E82" s="3">
        <f>10*LOG10((T_0+NseMeas!BG82)/T_0)</f>
        <v>4.2293385483036632</v>
      </c>
      <c r="F82" s="3">
        <f>10*LOG10((T_0+NseMeas!BH82)/T_0)</f>
        <v>3.7578722367692938</v>
      </c>
      <c r="G82" s="3">
        <f>CHOOSE(SrcDispSelect,NseMeas!BF82+(IF(UseUserCal,0,K82)),N82,U82)</f>
        <v>0.22933854830366102</v>
      </c>
      <c r="H82" s="3">
        <f>CHOOSE(SrcDispSelect,NseMeas!BJ82,O82,AA82)</f>
        <v>3.0245006045761878E-2</v>
      </c>
      <c r="I82" s="3">
        <f>CHOOSE(SrcDispSelect,NseMeas!BL82,R82,Y82)</f>
        <v>0.18647543402094358</v>
      </c>
      <c r="J82" s="3">
        <f>CHOOSE(SrcDispSelect,NseMeas!BN82,Q82,Z82)</f>
        <v>0.13295619783758311</v>
      </c>
      <c r="K82" s="3">
        <f>CHOOSE(SrcDispSelect,IF(UseUserCal,NseMeas!BP82,ABS(D82-C82)),P82,AB82)</f>
        <v>2.7229219493682755E-3</v>
      </c>
      <c r="L82" s="3">
        <f>CHOOSE(SrcDispSelect,NseMeas!BR82,S82,Z82)</f>
        <v>0</v>
      </c>
      <c r="N82" s="3">
        <f>NseMeas!CC82</f>
        <v>0.18649360544435875</v>
      </c>
      <c r="O82" s="3">
        <f>NseMeas!BW82</f>
        <v>0.18647543402094358</v>
      </c>
      <c r="P82" s="2">
        <f t="shared" si="1"/>
        <v>0</v>
      </c>
      <c r="Q82" s="3">
        <f>NseMeas!CA82</f>
        <v>2.6878157133072068E-3</v>
      </c>
      <c r="R82" s="3">
        <f>NseMeas!BU82</f>
        <v>0</v>
      </c>
      <c r="S82" s="3">
        <f>NseMeas!BY82</f>
        <v>0</v>
      </c>
      <c r="U82" s="3">
        <f>Calibration!AW82</f>
        <v>2.7229219493682755E-3</v>
      </c>
      <c r="V82" s="3">
        <f>Calibration!AY82</f>
        <v>2.6379919433336028E-5</v>
      </c>
      <c r="W82" s="3">
        <f>Calibration!BG82</f>
        <v>7.9892128201410378E-6</v>
      </c>
      <c r="X82" s="3">
        <f>Calibration!BC82</f>
        <v>1.0144898708076197E-5</v>
      </c>
      <c r="Y82" s="3">
        <f>Calibration!BE82</f>
        <v>2.6878157133072068E-3</v>
      </c>
      <c r="Z82" s="3">
        <f>Calibration!BA82</f>
        <v>0</v>
      </c>
      <c r="AA82" s="3">
        <f>Calibration!BI82</f>
        <v>2.9370825516253739E-5</v>
      </c>
    </row>
    <row r="83" spans="1:27">
      <c r="A83" s="2">
        <f>MIN(StopFreqGHz+0.000001,Result!A82+FreqStep)</f>
        <v>26.500001000000001</v>
      </c>
      <c r="B83" s="2">
        <f>DUT!AD84</f>
        <v>20</v>
      </c>
      <c r="C83" s="2">
        <f>DUT!AE84</f>
        <v>4</v>
      </c>
      <c r="D83" s="3">
        <f>10*LOG10((T_0+NseMeas!O83)/T_0)</f>
        <v>4.0000000000000027</v>
      </c>
      <c r="E83" s="3">
        <f>10*LOG10((T_0+NseMeas!BG83)/T_0)</f>
        <v>4.2293385483036632</v>
      </c>
      <c r="F83" s="3">
        <f>10*LOG10((T_0+NseMeas!BH83)/T_0)</f>
        <v>3.7578722367692938</v>
      </c>
      <c r="G83" s="3">
        <f>CHOOSE(SrcDispSelect,NseMeas!BF83+(IF(UseUserCal,0,K83)),N83,U83)</f>
        <v>0.22933854830366102</v>
      </c>
      <c r="H83" s="3">
        <f>CHOOSE(SrcDispSelect,NseMeas!BJ83,O83,AA83)</f>
        <v>3.0245006045761878E-2</v>
      </c>
      <c r="I83" s="3">
        <f>CHOOSE(SrcDispSelect,NseMeas!BL83,R83,Y83)</f>
        <v>0.18647543402094358</v>
      </c>
      <c r="J83" s="3">
        <f>CHOOSE(SrcDispSelect,NseMeas!BN83,Q83,Z83)</f>
        <v>0.13295619783758311</v>
      </c>
      <c r="K83" s="3">
        <f>CHOOSE(SrcDispSelect,IF(UseUserCal,NseMeas!BP83,ABS(D83-C83)),P83,AB83)</f>
        <v>2.7229219493682755E-3</v>
      </c>
      <c r="L83" s="3">
        <f>CHOOSE(SrcDispSelect,NseMeas!BR83,S83,Z83)</f>
        <v>0</v>
      </c>
      <c r="N83" s="3">
        <f>NseMeas!CC83</f>
        <v>0.18649360544435875</v>
      </c>
      <c r="O83" s="3">
        <f>NseMeas!BW83</f>
        <v>0.18647543402094358</v>
      </c>
      <c r="P83" s="2">
        <f t="shared" si="1"/>
        <v>0</v>
      </c>
      <c r="Q83" s="3">
        <f>NseMeas!CA83</f>
        <v>2.6878157133072068E-3</v>
      </c>
      <c r="R83" s="3">
        <f>NseMeas!BU83</f>
        <v>0</v>
      </c>
      <c r="S83" s="3">
        <f>NseMeas!BY83</f>
        <v>0</v>
      </c>
      <c r="U83" s="3">
        <f>Calibration!AW83</f>
        <v>2.7229219493682755E-3</v>
      </c>
      <c r="V83" s="3">
        <f>Calibration!AY83</f>
        <v>2.6379919433336028E-5</v>
      </c>
      <c r="W83" s="3">
        <f>Calibration!BG83</f>
        <v>7.9892128201410378E-6</v>
      </c>
      <c r="X83" s="3">
        <f>Calibration!BC83</f>
        <v>1.0144898708076197E-5</v>
      </c>
      <c r="Y83" s="3">
        <f>Calibration!BE83</f>
        <v>2.6878157133072068E-3</v>
      </c>
      <c r="Z83" s="3">
        <f>Calibration!BA83</f>
        <v>0</v>
      </c>
      <c r="AA83" s="3">
        <f>Calibration!BI83</f>
        <v>2.9370825516253739E-5</v>
      </c>
    </row>
    <row r="84" spans="1:27">
      <c r="A84" s="2">
        <f>MIN(StopFreqGHz+0.000001,Result!A83+FreqStep)</f>
        <v>26.500001000000001</v>
      </c>
      <c r="B84" s="2">
        <f>DUT!AD85</f>
        <v>20</v>
      </c>
      <c r="C84" s="2">
        <f>DUT!AE85</f>
        <v>4</v>
      </c>
      <c r="D84" s="3">
        <f>10*LOG10((T_0+NseMeas!O84)/T_0)</f>
        <v>4.0000000000000027</v>
      </c>
      <c r="E84" s="3">
        <f>10*LOG10((T_0+NseMeas!BG84)/T_0)</f>
        <v>4.2293385483036632</v>
      </c>
      <c r="F84" s="3">
        <f>10*LOG10((T_0+NseMeas!BH84)/T_0)</f>
        <v>3.7578722367692938</v>
      </c>
      <c r="G84" s="3">
        <f>CHOOSE(SrcDispSelect,NseMeas!BF84+(IF(UseUserCal,0,K84)),N84,U84)</f>
        <v>0.22933854830366102</v>
      </c>
      <c r="H84" s="3">
        <f>CHOOSE(SrcDispSelect,NseMeas!BJ84,O84,AA84)</f>
        <v>3.0245006045761878E-2</v>
      </c>
      <c r="I84" s="3">
        <f>CHOOSE(SrcDispSelect,NseMeas!BL84,R84,Y84)</f>
        <v>0.18647543402094358</v>
      </c>
      <c r="J84" s="3">
        <f>CHOOSE(SrcDispSelect,NseMeas!BN84,Q84,Z84)</f>
        <v>0.13295619783758311</v>
      </c>
      <c r="K84" s="3">
        <f>CHOOSE(SrcDispSelect,IF(UseUserCal,NseMeas!BP84,ABS(D84-C84)),P84,AB84)</f>
        <v>2.7229219493682755E-3</v>
      </c>
      <c r="L84" s="3">
        <f>CHOOSE(SrcDispSelect,NseMeas!BR84,S84,Z84)</f>
        <v>0</v>
      </c>
      <c r="N84" s="3">
        <f>NseMeas!CC84</f>
        <v>0.18649360544435875</v>
      </c>
      <c r="O84" s="3">
        <f>NseMeas!BW84</f>
        <v>0.18647543402094358</v>
      </c>
      <c r="P84" s="2">
        <f t="shared" si="1"/>
        <v>0</v>
      </c>
      <c r="Q84" s="3">
        <f>NseMeas!CA84</f>
        <v>2.6878157133072068E-3</v>
      </c>
      <c r="R84" s="3">
        <f>NseMeas!BU84</f>
        <v>0</v>
      </c>
      <c r="S84" s="3">
        <f>NseMeas!BY84</f>
        <v>0</v>
      </c>
      <c r="U84" s="3">
        <f>Calibration!AW84</f>
        <v>2.7229219493682755E-3</v>
      </c>
      <c r="V84" s="3">
        <f>Calibration!AY84</f>
        <v>2.6379919433336028E-5</v>
      </c>
      <c r="W84" s="3">
        <f>Calibration!BG84</f>
        <v>7.9892128201410378E-6</v>
      </c>
      <c r="X84" s="3">
        <f>Calibration!BC84</f>
        <v>1.0144898708076197E-5</v>
      </c>
      <c r="Y84" s="3">
        <f>Calibration!BE84</f>
        <v>2.6878157133072068E-3</v>
      </c>
      <c r="Z84" s="3">
        <f>Calibration!BA84</f>
        <v>0</v>
      </c>
      <c r="AA84" s="3">
        <f>Calibration!BI84</f>
        <v>2.9370825516253739E-5</v>
      </c>
    </row>
    <row r="85" spans="1:27">
      <c r="A85" s="2">
        <f>MIN(StopFreqGHz+0.000001,Result!A84+FreqStep)</f>
        <v>26.500001000000001</v>
      </c>
      <c r="B85" s="2">
        <f>DUT!AD86</f>
        <v>20</v>
      </c>
      <c r="C85" s="2">
        <f>DUT!AE86</f>
        <v>4</v>
      </c>
      <c r="D85" s="3">
        <f>10*LOG10((T_0+NseMeas!O85)/T_0)</f>
        <v>4.0000000000000027</v>
      </c>
      <c r="E85" s="3">
        <f>10*LOG10((T_0+NseMeas!BG85)/T_0)</f>
        <v>4.2293385483036632</v>
      </c>
      <c r="F85" s="3">
        <f>10*LOG10((T_0+NseMeas!BH85)/T_0)</f>
        <v>3.7578722367692938</v>
      </c>
      <c r="G85" s="3">
        <f>CHOOSE(SrcDispSelect,NseMeas!BF85+(IF(UseUserCal,0,K85)),N85,U85)</f>
        <v>0.22933854830366102</v>
      </c>
      <c r="H85" s="3">
        <f>CHOOSE(SrcDispSelect,NseMeas!BJ85,O85,AA85)</f>
        <v>3.0245006045761878E-2</v>
      </c>
      <c r="I85" s="3">
        <f>CHOOSE(SrcDispSelect,NseMeas!BL85,R85,Y85)</f>
        <v>0.18647543402094358</v>
      </c>
      <c r="J85" s="3">
        <f>CHOOSE(SrcDispSelect,NseMeas!BN85,Q85,Z85)</f>
        <v>0.13295619783758311</v>
      </c>
      <c r="K85" s="3">
        <f>CHOOSE(SrcDispSelect,IF(UseUserCal,NseMeas!BP85,ABS(D85-C85)),P85,AB85)</f>
        <v>2.7229219493682755E-3</v>
      </c>
      <c r="L85" s="3">
        <f>CHOOSE(SrcDispSelect,NseMeas!BR85,S85,Z85)</f>
        <v>0</v>
      </c>
      <c r="N85" s="3">
        <f>NseMeas!CC85</f>
        <v>0.18649360544435875</v>
      </c>
      <c r="O85" s="3">
        <f>NseMeas!BW85</f>
        <v>0.18647543402094358</v>
      </c>
      <c r="P85" s="2">
        <f t="shared" si="1"/>
        <v>0</v>
      </c>
      <c r="Q85" s="3">
        <f>NseMeas!CA85</f>
        <v>2.6878157133072068E-3</v>
      </c>
      <c r="R85" s="3">
        <f>NseMeas!BU85</f>
        <v>0</v>
      </c>
      <c r="S85" s="3">
        <f>NseMeas!BY85</f>
        <v>0</v>
      </c>
      <c r="U85" s="3">
        <f>Calibration!AW85</f>
        <v>2.7229219493682755E-3</v>
      </c>
      <c r="V85" s="3">
        <f>Calibration!AY85</f>
        <v>2.6379919433336028E-5</v>
      </c>
      <c r="W85" s="3">
        <f>Calibration!BG85</f>
        <v>7.9892128201410378E-6</v>
      </c>
      <c r="X85" s="3">
        <f>Calibration!BC85</f>
        <v>1.0144898708076197E-5</v>
      </c>
      <c r="Y85" s="3">
        <f>Calibration!BE85</f>
        <v>2.6878157133072068E-3</v>
      </c>
      <c r="Z85" s="3">
        <f>Calibration!BA85</f>
        <v>0</v>
      </c>
      <c r="AA85" s="3">
        <f>Calibration!BI85</f>
        <v>2.9370825516253739E-5</v>
      </c>
    </row>
    <row r="86" spans="1:27">
      <c r="A86" s="2">
        <f>MIN(StopFreqGHz+0.000001,Result!A85+FreqStep)</f>
        <v>26.500001000000001</v>
      </c>
      <c r="B86" s="2">
        <f>DUT!AD87</f>
        <v>20</v>
      </c>
      <c r="C86" s="2">
        <f>DUT!AE87</f>
        <v>4</v>
      </c>
      <c r="D86" s="3">
        <f>10*LOG10((T_0+NseMeas!O86)/T_0)</f>
        <v>4.0000000000000027</v>
      </c>
      <c r="E86" s="3">
        <f>10*LOG10((T_0+NseMeas!BG86)/T_0)</f>
        <v>4.2293385483036632</v>
      </c>
      <c r="F86" s="3">
        <f>10*LOG10((T_0+NseMeas!BH86)/T_0)</f>
        <v>3.7578722367692938</v>
      </c>
      <c r="G86" s="3">
        <f>CHOOSE(SrcDispSelect,NseMeas!BF86+(IF(UseUserCal,0,K86)),N86,U86)</f>
        <v>0.22933854830366102</v>
      </c>
      <c r="H86" s="3">
        <f>CHOOSE(SrcDispSelect,NseMeas!BJ86,O86,AA86)</f>
        <v>3.0245006045761878E-2</v>
      </c>
      <c r="I86" s="3">
        <f>CHOOSE(SrcDispSelect,NseMeas!BL86,R86,Y86)</f>
        <v>0.18647543402094358</v>
      </c>
      <c r="J86" s="3">
        <f>CHOOSE(SrcDispSelect,NseMeas!BN86,Q86,Z86)</f>
        <v>0.13295619783758311</v>
      </c>
      <c r="K86" s="3">
        <f>CHOOSE(SrcDispSelect,IF(UseUserCal,NseMeas!BP86,ABS(D86-C86)),P86,AB86)</f>
        <v>2.7229219493682755E-3</v>
      </c>
      <c r="L86" s="3">
        <f>CHOOSE(SrcDispSelect,NseMeas!BR86,S86,Z86)</f>
        <v>0</v>
      </c>
      <c r="N86" s="3">
        <f>NseMeas!CC86</f>
        <v>0.18649360544435875</v>
      </c>
      <c r="O86" s="3">
        <f>NseMeas!BW86</f>
        <v>0.18647543402094358</v>
      </c>
      <c r="P86" s="2">
        <f t="shared" si="1"/>
        <v>0</v>
      </c>
      <c r="Q86" s="3">
        <f>NseMeas!CA86</f>
        <v>2.6878157133072068E-3</v>
      </c>
      <c r="R86" s="3">
        <f>NseMeas!BU86</f>
        <v>0</v>
      </c>
      <c r="S86" s="3">
        <f>NseMeas!BY86</f>
        <v>0</v>
      </c>
      <c r="U86" s="3">
        <f>Calibration!AW86</f>
        <v>2.7229219493682755E-3</v>
      </c>
      <c r="V86" s="3">
        <f>Calibration!AY86</f>
        <v>2.6379919433336028E-5</v>
      </c>
      <c r="W86" s="3">
        <f>Calibration!BG86</f>
        <v>7.9892128201410378E-6</v>
      </c>
      <c r="X86" s="3">
        <f>Calibration!BC86</f>
        <v>1.0144898708076197E-5</v>
      </c>
      <c r="Y86" s="3">
        <f>Calibration!BE86</f>
        <v>2.6878157133072068E-3</v>
      </c>
      <c r="Z86" s="3">
        <f>Calibration!BA86</f>
        <v>0</v>
      </c>
      <c r="AA86" s="3">
        <f>Calibration!BI86</f>
        <v>2.9370825516253739E-5</v>
      </c>
    </row>
    <row r="87" spans="1:27">
      <c r="A87" s="2">
        <f>MIN(StopFreqGHz+0.000001,Result!A86+FreqStep)</f>
        <v>26.500001000000001</v>
      </c>
      <c r="B87" s="2">
        <f>DUT!AD88</f>
        <v>20</v>
      </c>
      <c r="C87" s="2">
        <f>DUT!AE88</f>
        <v>4</v>
      </c>
      <c r="D87" s="3">
        <f>10*LOG10((T_0+NseMeas!O87)/T_0)</f>
        <v>4.0000000000000027</v>
      </c>
      <c r="E87" s="3">
        <f>10*LOG10((T_0+NseMeas!BG87)/T_0)</f>
        <v>4.2293385483036632</v>
      </c>
      <c r="F87" s="3">
        <f>10*LOG10((T_0+NseMeas!BH87)/T_0)</f>
        <v>3.7578722367692938</v>
      </c>
      <c r="G87" s="3">
        <f>CHOOSE(SrcDispSelect,NseMeas!BF87+(IF(UseUserCal,0,K87)),N87,U87)</f>
        <v>0.22933854830366102</v>
      </c>
      <c r="H87" s="3">
        <f>CHOOSE(SrcDispSelect,NseMeas!BJ87,O87,AA87)</f>
        <v>3.0245006045761878E-2</v>
      </c>
      <c r="I87" s="3">
        <f>CHOOSE(SrcDispSelect,NseMeas!BL87,R87,Y87)</f>
        <v>0.18647543402094358</v>
      </c>
      <c r="J87" s="3">
        <f>CHOOSE(SrcDispSelect,NseMeas!BN87,Q87,Z87)</f>
        <v>0.13295619783758311</v>
      </c>
      <c r="K87" s="3">
        <f>CHOOSE(SrcDispSelect,IF(UseUserCal,NseMeas!BP87,ABS(D87-C87)),P87,AB87)</f>
        <v>2.7229219493682755E-3</v>
      </c>
      <c r="L87" s="3">
        <f>CHOOSE(SrcDispSelect,NseMeas!BR87,S87,Z87)</f>
        <v>0</v>
      </c>
      <c r="N87" s="3">
        <f>NseMeas!CC87</f>
        <v>0.18649360544435875</v>
      </c>
      <c r="O87" s="3">
        <f>NseMeas!BW87</f>
        <v>0.18647543402094358</v>
      </c>
      <c r="P87" s="2">
        <f t="shared" si="1"/>
        <v>0</v>
      </c>
      <c r="Q87" s="3">
        <f>NseMeas!CA87</f>
        <v>2.6878157133072068E-3</v>
      </c>
      <c r="R87" s="3">
        <f>NseMeas!BU87</f>
        <v>0</v>
      </c>
      <c r="S87" s="3">
        <f>NseMeas!BY87</f>
        <v>0</v>
      </c>
      <c r="U87" s="3">
        <f>Calibration!AW87</f>
        <v>2.7229219493682755E-3</v>
      </c>
      <c r="V87" s="3">
        <f>Calibration!AY87</f>
        <v>2.6379919433336028E-5</v>
      </c>
      <c r="W87" s="3">
        <f>Calibration!BG87</f>
        <v>7.9892128201410378E-6</v>
      </c>
      <c r="X87" s="3">
        <f>Calibration!BC87</f>
        <v>1.0144898708076197E-5</v>
      </c>
      <c r="Y87" s="3">
        <f>Calibration!BE87</f>
        <v>2.6878157133072068E-3</v>
      </c>
      <c r="Z87" s="3">
        <f>Calibration!BA87</f>
        <v>0</v>
      </c>
      <c r="AA87" s="3">
        <f>Calibration!BI87</f>
        <v>2.9370825516253739E-5</v>
      </c>
    </row>
    <row r="88" spans="1:27">
      <c r="A88" s="2">
        <f>MIN(StopFreqGHz+0.000001,Result!A87+FreqStep)</f>
        <v>26.500001000000001</v>
      </c>
      <c r="B88" s="2">
        <f>DUT!AD89</f>
        <v>20</v>
      </c>
      <c r="C88" s="2">
        <f>DUT!AE89</f>
        <v>4</v>
      </c>
      <c r="D88" s="3">
        <f>10*LOG10((T_0+NseMeas!O88)/T_0)</f>
        <v>4.0000000000000027</v>
      </c>
      <c r="E88" s="3">
        <f>10*LOG10((T_0+NseMeas!BG88)/T_0)</f>
        <v>4.2293385483036632</v>
      </c>
      <c r="F88" s="3">
        <f>10*LOG10((T_0+NseMeas!BH88)/T_0)</f>
        <v>3.7578722367692938</v>
      </c>
      <c r="G88" s="3">
        <f>CHOOSE(SrcDispSelect,NseMeas!BF88+(IF(UseUserCal,0,K88)),N88,U88)</f>
        <v>0.22933854830366102</v>
      </c>
      <c r="H88" s="3">
        <f>CHOOSE(SrcDispSelect,NseMeas!BJ88,O88,AA88)</f>
        <v>3.0245006045761878E-2</v>
      </c>
      <c r="I88" s="3">
        <f>CHOOSE(SrcDispSelect,NseMeas!BL88,R88,Y88)</f>
        <v>0.18647543402094358</v>
      </c>
      <c r="J88" s="3">
        <f>CHOOSE(SrcDispSelect,NseMeas!BN88,Q88,Z88)</f>
        <v>0.13295619783758311</v>
      </c>
      <c r="K88" s="3">
        <f>CHOOSE(SrcDispSelect,IF(UseUserCal,NseMeas!BP88,ABS(D88-C88)),P88,AB88)</f>
        <v>2.7229219493682755E-3</v>
      </c>
      <c r="L88" s="3">
        <f>CHOOSE(SrcDispSelect,NseMeas!BR88,S88,Z88)</f>
        <v>0</v>
      </c>
      <c r="N88" s="3">
        <f>NseMeas!CC88</f>
        <v>0.18649360544435875</v>
      </c>
      <c r="O88" s="3">
        <f>NseMeas!BW88</f>
        <v>0.18647543402094358</v>
      </c>
      <c r="P88" s="2">
        <f t="shared" si="1"/>
        <v>0</v>
      </c>
      <c r="Q88" s="3">
        <f>NseMeas!CA88</f>
        <v>2.6878157133072068E-3</v>
      </c>
      <c r="R88" s="3">
        <f>NseMeas!BU88</f>
        <v>0</v>
      </c>
      <c r="S88" s="3">
        <f>NseMeas!BY88</f>
        <v>0</v>
      </c>
      <c r="U88" s="3">
        <f>Calibration!AW88</f>
        <v>2.7229219493682755E-3</v>
      </c>
      <c r="V88" s="3">
        <f>Calibration!AY88</f>
        <v>2.6379919433336028E-5</v>
      </c>
      <c r="W88" s="3">
        <f>Calibration!BG88</f>
        <v>7.9892128201410378E-6</v>
      </c>
      <c r="X88" s="3">
        <f>Calibration!BC88</f>
        <v>1.0144898708076197E-5</v>
      </c>
      <c r="Y88" s="3">
        <f>Calibration!BE88</f>
        <v>2.6878157133072068E-3</v>
      </c>
      <c r="Z88" s="3">
        <f>Calibration!BA88</f>
        <v>0</v>
      </c>
      <c r="AA88" s="3">
        <f>Calibration!BI88</f>
        <v>2.9370825516253739E-5</v>
      </c>
    </row>
    <row r="89" spans="1:27">
      <c r="A89" s="2">
        <f>MIN(StopFreqGHz+0.000001,Result!A88+FreqStep)</f>
        <v>26.500001000000001</v>
      </c>
      <c r="B89" s="2">
        <f>DUT!AD90</f>
        <v>20</v>
      </c>
      <c r="C89" s="2">
        <f>DUT!AE90</f>
        <v>4</v>
      </c>
      <c r="D89" s="3">
        <f>10*LOG10((T_0+NseMeas!O89)/T_0)</f>
        <v>4.0000000000000027</v>
      </c>
      <c r="E89" s="3">
        <f>10*LOG10((T_0+NseMeas!BG89)/T_0)</f>
        <v>4.2293385483036632</v>
      </c>
      <c r="F89" s="3">
        <f>10*LOG10((T_0+NseMeas!BH89)/T_0)</f>
        <v>3.7578722367692938</v>
      </c>
      <c r="G89" s="3">
        <f>CHOOSE(SrcDispSelect,NseMeas!BF89+(IF(UseUserCal,0,K89)),N89,U89)</f>
        <v>0.22933854830366102</v>
      </c>
      <c r="H89" s="3">
        <f>CHOOSE(SrcDispSelect,NseMeas!BJ89,O89,AA89)</f>
        <v>3.0245006045761878E-2</v>
      </c>
      <c r="I89" s="3">
        <f>CHOOSE(SrcDispSelect,NseMeas!BL89,R89,Y89)</f>
        <v>0.18647543402094358</v>
      </c>
      <c r="J89" s="3">
        <f>CHOOSE(SrcDispSelect,NseMeas!BN89,Q89,Z89)</f>
        <v>0.13295619783758311</v>
      </c>
      <c r="K89" s="3">
        <f>CHOOSE(SrcDispSelect,IF(UseUserCal,NseMeas!BP89,ABS(D89-C89)),P89,AB89)</f>
        <v>2.7229219493682755E-3</v>
      </c>
      <c r="L89" s="3">
        <f>CHOOSE(SrcDispSelect,NseMeas!BR89,S89,Z89)</f>
        <v>0</v>
      </c>
      <c r="N89" s="3">
        <f>NseMeas!CC89</f>
        <v>0.18649360544435875</v>
      </c>
      <c r="O89" s="3">
        <f>NseMeas!BW89</f>
        <v>0.18647543402094358</v>
      </c>
      <c r="P89" s="2">
        <f t="shared" si="1"/>
        <v>0</v>
      </c>
      <c r="Q89" s="3">
        <f>NseMeas!CA89</f>
        <v>2.6878157133072068E-3</v>
      </c>
      <c r="R89" s="3">
        <f>NseMeas!BU89</f>
        <v>0</v>
      </c>
      <c r="S89" s="3">
        <f>NseMeas!BY89</f>
        <v>0</v>
      </c>
      <c r="U89" s="3">
        <f>Calibration!AW89</f>
        <v>2.7229219493682755E-3</v>
      </c>
      <c r="V89" s="3">
        <f>Calibration!AY89</f>
        <v>2.6379919433336028E-5</v>
      </c>
      <c r="W89" s="3">
        <f>Calibration!BG89</f>
        <v>7.9892128201410378E-6</v>
      </c>
      <c r="X89" s="3">
        <f>Calibration!BC89</f>
        <v>1.0144898708076197E-5</v>
      </c>
      <c r="Y89" s="3">
        <f>Calibration!BE89</f>
        <v>2.6878157133072068E-3</v>
      </c>
      <c r="Z89" s="3">
        <f>Calibration!BA89</f>
        <v>0</v>
      </c>
      <c r="AA89" s="3">
        <f>Calibration!BI89</f>
        <v>2.9370825516253739E-5</v>
      </c>
    </row>
    <row r="90" spans="1:27">
      <c r="A90" s="2">
        <f>MIN(StopFreqGHz+0.000001,Result!A89+FreqStep)</f>
        <v>26.500001000000001</v>
      </c>
      <c r="B90" s="2">
        <f>DUT!AD91</f>
        <v>20</v>
      </c>
      <c r="C90" s="2">
        <f>DUT!AE91</f>
        <v>4</v>
      </c>
      <c r="D90" s="3">
        <f>10*LOG10((T_0+NseMeas!O90)/T_0)</f>
        <v>4.0000000000000027</v>
      </c>
      <c r="E90" s="3">
        <f>10*LOG10((T_0+NseMeas!BG90)/T_0)</f>
        <v>4.2293385483036632</v>
      </c>
      <c r="F90" s="3">
        <f>10*LOG10((T_0+NseMeas!BH90)/T_0)</f>
        <v>3.7578722367692938</v>
      </c>
      <c r="G90" s="3">
        <f>CHOOSE(SrcDispSelect,NseMeas!BF90+(IF(UseUserCal,0,K90)),N90,U90)</f>
        <v>0.22933854830366102</v>
      </c>
      <c r="H90" s="3">
        <f>CHOOSE(SrcDispSelect,NseMeas!BJ90,O90,AA90)</f>
        <v>3.0245006045761878E-2</v>
      </c>
      <c r="I90" s="3">
        <f>CHOOSE(SrcDispSelect,NseMeas!BL90,R90,Y90)</f>
        <v>0.18647543402094358</v>
      </c>
      <c r="J90" s="3">
        <f>CHOOSE(SrcDispSelect,NseMeas!BN90,Q90,Z90)</f>
        <v>0.13295619783758311</v>
      </c>
      <c r="K90" s="3">
        <f>CHOOSE(SrcDispSelect,IF(UseUserCal,NseMeas!BP90,ABS(D90-C90)),P90,AB90)</f>
        <v>2.7229219493682755E-3</v>
      </c>
      <c r="L90" s="3">
        <f>CHOOSE(SrcDispSelect,NseMeas!BR90,S90,Z90)</f>
        <v>0</v>
      </c>
      <c r="N90" s="3">
        <f>NseMeas!CC90</f>
        <v>0.18649360544435875</v>
      </c>
      <c r="O90" s="3">
        <f>NseMeas!BW90</f>
        <v>0.18647543402094358</v>
      </c>
      <c r="P90" s="2">
        <f t="shared" si="1"/>
        <v>0</v>
      </c>
      <c r="Q90" s="3">
        <f>NseMeas!CA90</f>
        <v>2.6878157133072068E-3</v>
      </c>
      <c r="R90" s="3">
        <f>NseMeas!BU90</f>
        <v>0</v>
      </c>
      <c r="S90" s="3">
        <f>NseMeas!BY90</f>
        <v>0</v>
      </c>
      <c r="U90" s="3">
        <f>Calibration!AW90</f>
        <v>2.7229219493682755E-3</v>
      </c>
      <c r="V90" s="3">
        <f>Calibration!AY90</f>
        <v>2.6379919433336028E-5</v>
      </c>
      <c r="W90" s="3">
        <f>Calibration!BG90</f>
        <v>7.9892128201410378E-6</v>
      </c>
      <c r="X90" s="3">
        <f>Calibration!BC90</f>
        <v>1.0144898708076197E-5</v>
      </c>
      <c r="Y90" s="3">
        <f>Calibration!BE90</f>
        <v>2.6878157133072068E-3</v>
      </c>
      <c r="Z90" s="3">
        <f>Calibration!BA90</f>
        <v>0</v>
      </c>
      <c r="AA90" s="3">
        <f>Calibration!BI90</f>
        <v>2.9370825516253739E-5</v>
      </c>
    </row>
    <row r="91" spans="1:27">
      <c r="A91" s="2">
        <f>MIN(StopFreqGHz+0.000001,Result!A90+FreqStep)</f>
        <v>26.500001000000001</v>
      </c>
      <c r="B91" s="2">
        <f>DUT!AD92</f>
        <v>20</v>
      </c>
      <c r="C91" s="2">
        <f>DUT!AE92</f>
        <v>4</v>
      </c>
      <c r="D91" s="3">
        <f>10*LOG10((T_0+NseMeas!O91)/T_0)</f>
        <v>4.0000000000000027</v>
      </c>
      <c r="E91" s="3">
        <f>10*LOG10((T_0+NseMeas!BG91)/T_0)</f>
        <v>4.2293385483036632</v>
      </c>
      <c r="F91" s="3">
        <f>10*LOG10((T_0+NseMeas!BH91)/T_0)</f>
        <v>3.7578722367692938</v>
      </c>
      <c r="G91" s="3">
        <f>CHOOSE(SrcDispSelect,NseMeas!BF91+(IF(UseUserCal,0,K91)),N91,U91)</f>
        <v>0.22933854830366102</v>
      </c>
      <c r="H91" s="3">
        <f>CHOOSE(SrcDispSelect,NseMeas!BJ91,O91,AA91)</f>
        <v>3.0245006045761878E-2</v>
      </c>
      <c r="I91" s="3">
        <f>CHOOSE(SrcDispSelect,NseMeas!BL91,R91,Y91)</f>
        <v>0.18647543402094358</v>
      </c>
      <c r="J91" s="3">
        <f>CHOOSE(SrcDispSelect,NseMeas!BN91,Q91,Z91)</f>
        <v>0.13295619783758311</v>
      </c>
      <c r="K91" s="3">
        <f>CHOOSE(SrcDispSelect,IF(UseUserCal,NseMeas!BP91,ABS(D91-C91)),P91,AB91)</f>
        <v>2.7229219493682755E-3</v>
      </c>
      <c r="L91" s="3">
        <f>CHOOSE(SrcDispSelect,NseMeas!BR91,S91,Z91)</f>
        <v>0</v>
      </c>
      <c r="N91" s="3">
        <f>NseMeas!CC91</f>
        <v>0.18649360544435875</v>
      </c>
      <c r="O91" s="3">
        <f>NseMeas!BW91</f>
        <v>0.18647543402094358</v>
      </c>
      <c r="P91" s="2">
        <f t="shared" si="1"/>
        <v>0</v>
      </c>
      <c r="Q91" s="3">
        <f>NseMeas!CA91</f>
        <v>2.6878157133072068E-3</v>
      </c>
      <c r="R91" s="3">
        <f>NseMeas!BU91</f>
        <v>0</v>
      </c>
      <c r="S91" s="3">
        <f>NseMeas!BY91</f>
        <v>0</v>
      </c>
      <c r="U91" s="3">
        <f>Calibration!AW91</f>
        <v>2.7229219493682755E-3</v>
      </c>
      <c r="V91" s="3">
        <f>Calibration!AY91</f>
        <v>2.6379919433336028E-5</v>
      </c>
      <c r="W91" s="3">
        <f>Calibration!BG91</f>
        <v>7.9892128201410378E-6</v>
      </c>
      <c r="X91" s="3">
        <f>Calibration!BC91</f>
        <v>1.0144898708076197E-5</v>
      </c>
      <c r="Y91" s="3">
        <f>Calibration!BE91</f>
        <v>2.6878157133072068E-3</v>
      </c>
      <c r="Z91" s="3">
        <f>Calibration!BA91</f>
        <v>0</v>
      </c>
      <c r="AA91" s="3">
        <f>Calibration!BI91</f>
        <v>2.9370825516253739E-5</v>
      </c>
    </row>
    <row r="92" spans="1:27">
      <c r="A92" s="2">
        <f>MIN(StopFreqGHz+0.000001,Result!A91+FreqStep)</f>
        <v>26.500001000000001</v>
      </c>
      <c r="B92" s="2">
        <f>DUT!AD93</f>
        <v>20</v>
      </c>
      <c r="C92" s="2">
        <f>DUT!AE93</f>
        <v>4</v>
      </c>
      <c r="D92" s="3">
        <f>10*LOG10((T_0+NseMeas!O92)/T_0)</f>
        <v>4.0000000000000027</v>
      </c>
      <c r="E92" s="3">
        <f>10*LOG10((T_0+NseMeas!BG92)/T_0)</f>
        <v>4.2293385483036632</v>
      </c>
      <c r="F92" s="3">
        <f>10*LOG10((T_0+NseMeas!BH92)/T_0)</f>
        <v>3.7578722367692938</v>
      </c>
      <c r="G92" s="3">
        <f>CHOOSE(SrcDispSelect,NseMeas!BF92+(IF(UseUserCal,0,K92)),N92,U92)</f>
        <v>0.22933854830366102</v>
      </c>
      <c r="H92" s="3">
        <f>CHOOSE(SrcDispSelect,NseMeas!BJ92,O92,AA92)</f>
        <v>3.0245006045761878E-2</v>
      </c>
      <c r="I92" s="3">
        <f>CHOOSE(SrcDispSelect,NseMeas!BL92,R92,Y92)</f>
        <v>0.18647543402094358</v>
      </c>
      <c r="J92" s="3">
        <f>CHOOSE(SrcDispSelect,NseMeas!BN92,Q92,Z92)</f>
        <v>0.13295619783758311</v>
      </c>
      <c r="K92" s="3">
        <f>CHOOSE(SrcDispSelect,IF(UseUserCal,NseMeas!BP92,ABS(D92-C92)),P92,AB92)</f>
        <v>2.7229219493682755E-3</v>
      </c>
      <c r="L92" s="3">
        <f>CHOOSE(SrcDispSelect,NseMeas!BR92,S92,Z92)</f>
        <v>0</v>
      </c>
      <c r="N92" s="3">
        <f>NseMeas!CC92</f>
        <v>0.18649360544435875</v>
      </c>
      <c r="O92" s="3">
        <f>NseMeas!BW92</f>
        <v>0.18647543402094358</v>
      </c>
      <c r="P92" s="2">
        <f t="shared" si="1"/>
        <v>0</v>
      </c>
      <c r="Q92" s="3">
        <f>NseMeas!CA92</f>
        <v>2.6878157133072068E-3</v>
      </c>
      <c r="R92" s="3">
        <f>NseMeas!BU92</f>
        <v>0</v>
      </c>
      <c r="S92" s="3">
        <f>NseMeas!BY92</f>
        <v>0</v>
      </c>
      <c r="U92" s="3">
        <f>Calibration!AW92</f>
        <v>2.7229219493682755E-3</v>
      </c>
      <c r="V92" s="3">
        <f>Calibration!AY92</f>
        <v>2.6379919433336028E-5</v>
      </c>
      <c r="W92" s="3">
        <f>Calibration!BG92</f>
        <v>7.9892128201410378E-6</v>
      </c>
      <c r="X92" s="3">
        <f>Calibration!BC92</f>
        <v>1.0144898708076197E-5</v>
      </c>
      <c r="Y92" s="3">
        <f>Calibration!BE92</f>
        <v>2.6878157133072068E-3</v>
      </c>
      <c r="Z92" s="3">
        <f>Calibration!BA92</f>
        <v>0</v>
      </c>
      <c r="AA92" s="3">
        <f>Calibration!BI92</f>
        <v>2.9370825516253739E-5</v>
      </c>
    </row>
    <row r="93" spans="1:27">
      <c r="A93" s="2">
        <f>MIN(StopFreqGHz+0.000001,Result!A92+FreqStep)</f>
        <v>26.500001000000001</v>
      </c>
      <c r="B93" s="2">
        <f>DUT!AD94</f>
        <v>20</v>
      </c>
      <c r="C93" s="2">
        <f>DUT!AE94</f>
        <v>4</v>
      </c>
      <c r="D93" s="3">
        <f>10*LOG10((T_0+NseMeas!O93)/T_0)</f>
        <v>4.0000000000000027</v>
      </c>
      <c r="E93" s="3">
        <f>10*LOG10((T_0+NseMeas!BG93)/T_0)</f>
        <v>4.2293385483036632</v>
      </c>
      <c r="F93" s="3">
        <f>10*LOG10((T_0+NseMeas!BH93)/T_0)</f>
        <v>3.7578722367692938</v>
      </c>
      <c r="G93" s="3">
        <f>CHOOSE(SrcDispSelect,NseMeas!BF93+(IF(UseUserCal,0,K93)),N93,U93)</f>
        <v>0.22933854830366102</v>
      </c>
      <c r="H93" s="3">
        <f>CHOOSE(SrcDispSelect,NseMeas!BJ93,O93,AA93)</f>
        <v>3.0245006045761878E-2</v>
      </c>
      <c r="I93" s="3">
        <f>CHOOSE(SrcDispSelect,NseMeas!BL93,R93,Y93)</f>
        <v>0.18647543402094358</v>
      </c>
      <c r="J93" s="3">
        <f>CHOOSE(SrcDispSelect,NseMeas!BN93,Q93,Z93)</f>
        <v>0.13295619783758311</v>
      </c>
      <c r="K93" s="3">
        <f>CHOOSE(SrcDispSelect,IF(UseUserCal,NseMeas!BP93,ABS(D93-C93)),P93,AB93)</f>
        <v>2.7229219493682755E-3</v>
      </c>
      <c r="L93" s="3">
        <f>CHOOSE(SrcDispSelect,NseMeas!BR93,S93,Z93)</f>
        <v>0</v>
      </c>
      <c r="N93" s="3">
        <f>NseMeas!CC93</f>
        <v>0.18649360544435875</v>
      </c>
      <c r="O93" s="3">
        <f>NseMeas!BW93</f>
        <v>0.18647543402094358</v>
      </c>
      <c r="P93" s="2">
        <f t="shared" si="1"/>
        <v>0</v>
      </c>
      <c r="Q93" s="3">
        <f>NseMeas!CA93</f>
        <v>2.6878157133072068E-3</v>
      </c>
      <c r="R93" s="3">
        <f>NseMeas!BU93</f>
        <v>0</v>
      </c>
      <c r="S93" s="3">
        <f>NseMeas!BY93</f>
        <v>0</v>
      </c>
      <c r="U93" s="3">
        <f>Calibration!AW93</f>
        <v>2.7229219493682755E-3</v>
      </c>
      <c r="V93" s="3">
        <f>Calibration!AY93</f>
        <v>2.6379919433336028E-5</v>
      </c>
      <c r="W93" s="3">
        <f>Calibration!BG93</f>
        <v>7.9892128201410378E-6</v>
      </c>
      <c r="X93" s="3">
        <f>Calibration!BC93</f>
        <v>1.0144898708076197E-5</v>
      </c>
      <c r="Y93" s="3">
        <f>Calibration!BE93</f>
        <v>2.6878157133072068E-3</v>
      </c>
      <c r="Z93" s="3">
        <f>Calibration!BA93</f>
        <v>0</v>
      </c>
      <c r="AA93" s="3">
        <f>Calibration!BI93</f>
        <v>2.9370825516253739E-5</v>
      </c>
    </row>
    <row r="94" spans="1:27">
      <c r="A94" s="2">
        <f>MIN(StopFreqGHz+0.000001,Result!A93+FreqStep)</f>
        <v>26.500001000000001</v>
      </c>
      <c r="B94" s="2">
        <f>DUT!AD95</f>
        <v>20</v>
      </c>
      <c r="C94" s="2">
        <f>DUT!AE95</f>
        <v>4</v>
      </c>
      <c r="D94" s="3">
        <f>10*LOG10((T_0+NseMeas!O94)/T_0)</f>
        <v>4.0000000000000027</v>
      </c>
      <c r="E94" s="3">
        <f>10*LOG10((T_0+NseMeas!BG94)/T_0)</f>
        <v>4.2293385483036632</v>
      </c>
      <c r="F94" s="3">
        <f>10*LOG10((T_0+NseMeas!BH94)/T_0)</f>
        <v>3.7578722367692938</v>
      </c>
      <c r="G94" s="3">
        <f>CHOOSE(SrcDispSelect,NseMeas!BF94+(IF(UseUserCal,0,K94)),N94,U94)</f>
        <v>0.22933854830366102</v>
      </c>
      <c r="H94" s="3">
        <f>CHOOSE(SrcDispSelect,NseMeas!BJ94,O94,AA94)</f>
        <v>3.0245006045761878E-2</v>
      </c>
      <c r="I94" s="3">
        <f>CHOOSE(SrcDispSelect,NseMeas!BL94,R94,Y94)</f>
        <v>0.18647543402094358</v>
      </c>
      <c r="J94" s="3">
        <f>CHOOSE(SrcDispSelect,NseMeas!BN94,Q94,Z94)</f>
        <v>0.13295619783758311</v>
      </c>
      <c r="K94" s="3">
        <f>CHOOSE(SrcDispSelect,IF(UseUserCal,NseMeas!BP94,ABS(D94-C94)),P94,AB94)</f>
        <v>2.7229219493682755E-3</v>
      </c>
      <c r="L94" s="3">
        <f>CHOOSE(SrcDispSelect,NseMeas!BR94,S94,Z94)</f>
        <v>0</v>
      </c>
      <c r="N94" s="3">
        <f>NseMeas!CC94</f>
        <v>0.18649360544435875</v>
      </c>
      <c r="O94" s="3">
        <f>NseMeas!BW94</f>
        <v>0.18647543402094358</v>
      </c>
      <c r="P94" s="2">
        <f t="shared" si="1"/>
        <v>0</v>
      </c>
      <c r="Q94" s="3">
        <f>NseMeas!CA94</f>
        <v>2.6878157133072068E-3</v>
      </c>
      <c r="R94" s="3">
        <f>NseMeas!BU94</f>
        <v>0</v>
      </c>
      <c r="S94" s="3">
        <f>NseMeas!BY94</f>
        <v>0</v>
      </c>
      <c r="U94" s="3">
        <f>Calibration!AW94</f>
        <v>2.7229219493682755E-3</v>
      </c>
      <c r="V94" s="3">
        <f>Calibration!AY94</f>
        <v>2.6379919433336028E-5</v>
      </c>
      <c r="W94" s="3">
        <f>Calibration!BG94</f>
        <v>7.9892128201410378E-6</v>
      </c>
      <c r="X94" s="3">
        <f>Calibration!BC94</f>
        <v>1.0144898708076197E-5</v>
      </c>
      <c r="Y94" s="3">
        <f>Calibration!BE94</f>
        <v>2.6878157133072068E-3</v>
      </c>
      <c r="Z94" s="3">
        <f>Calibration!BA94</f>
        <v>0</v>
      </c>
      <c r="AA94" s="3">
        <f>Calibration!BI94</f>
        <v>2.9370825516253739E-5</v>
      </c>
    </row>
    <row r="95" spans="1:27">
      <c r="A95" s="2">
        <f>MIN(StopFreqGHz+0.000001,Result!A94+FreqStep)</f>
        <v>26.500001000000001</v>
      </c>
      <c r="B95" s="2">
        <f>DUT!AD96</f>
        <v>20</v>
      </c>
      <c r="C95" s="2">
        <f>DUT!AE96</f>
        <v>4</v>
      </c>
      <c r="D95" s="3">
        <f>10*LOG10((T_0+NseMeas!O95)/T_0)</f>
        <v>4.0000000000000027</v>
      </c>
      <c r="E95" s="3">
        <f>10*LOG10((T_0+NseMeas!BG95)/T_0)</f>
        <v>4.2293385483036632</v>
      </c>
      <c r="F95" s="3">
        <f>10*LOG10((T_0+NseMeas!BH95)/T_0)</f>
        <v>3.7578722367692938</v>
      </c>
      <c r="G95" s="3">
        <f>CHOOSE(SrcDispSelect,NseMeas!BF95+(IF(UseUserCal,0,K95)),N95,U95)</f>
        <v>0.22933854830366102</v>
      </c>
      <c r="H95" s="3">
        <f>CHOOSE(SrcDispSelect,NseMeas!BJ95,O95,AA95)</f>
        <v>3.0245006045761878E-2</v>
      </c>
      <c r="I95" s="3">
        <f>CHOOSE(SrcDispSelect,NseMeas!BL95,R95,Y95)</f>
        <v>0.18647543402094358</v>
      </c>
      <c r="J95" s="3">
        <f>CHOOSE(SrcDispSelect,NseMeas!BN95,Q95,Z95)</f>
        <v>0.13295619783758311</v>
      </c>
      <c r="K95" s="3">
        <f>CHOOSE(SrcDispSelect,IF(UseUserCal,NseMeas!BP95,ABS(D95-C95)),P95,AB95)</f>
        <v>2.7229219493682755E-3</v>
      </c>
      <c r="L95" s="3">
        <f>CHOOSE(SrcDispSelect,NseMeas!BR95,S95,Z95)</f>
        <v>0</v>
      </c>
      <c r="N95" s="3">
        <f>NseMeas!CC95</f>
        <v>0.18649360544435875</v>
      </c>
      <c r="O95" s="3">
        <f>NseMeas!BW95</f>
        <v>0.18647543402094358</v>
      </c>
      <c r="P95" s="2">
        <f t="shared" si="1"/>
        <v>0</v>
      </c>
      <c r="Q95" s="3">
        <f>NseMeas!CA95</f>
        <v>2.6878157133072068E-3</v>
      </c>
      <c r="R95" s="3">
        <f>NseMeas!BU95</f>
        <v>0</v>
      </c>
      <c r="S95" s="3">
        <f>NseMeas!BY95</f>
        <v>0</v>
      </c>
      <c r="U95" s="3">
        <f>Calibration!AW95</f>
        <v>2.7229219493682755E-3</v>
      </c>
      <c r="V95" s="3">
        <f>Calibration!AY95</f>
        <v>2.6379919433336028E-5</v>
      </c>
      <c r="W95" s="3">
        <f>Calibration!BG95</f>
        <v>7.9892128201410378E-6</v>
      </c>
      <c r="X95" s="3">
        <f>Calibration!BC95</f>
        <v>1.0144898708076197E-5</v>
      </c>
      <c r="Y95" s="3">
        <f>Calibration!BE95</f>
        <v>2.6878157133072068E-3</v>
      </c>
      <c r="Z95" s="3">
        <f>Calibration!BA95</f>
        <v>0</v>
      </c>
      <c r="AA95" s="3">
        <f>Calibration!BI95</f>
        <v>2.9370825516253739E-5</v>
      </c>
    </row>
    <row r="96" spans="1:27">
      <c r="A96" s="2">
        <f>MIN(StopFreqGHz+0.000001,Result!A95+FreqStep)</f>
        <v>26.500001000000001</v>
      </c>
      <c r="B96" s="2">
        <f>DUT!AD97</f>
        <v>20</v>
      </c>
      <c r="C96" s="2">
        <f>DUT!AE97</f>
        <v>4</v>
      </c>
      <c r="D96" s="3">
        <f>10*LOG10((T_0+NseMeas!O96)/T_0)</f>
        <v>4.0000000000000027</v>
      </c>
      <c r="E96" s="3">
        <f>10*LOG10((T_0+NseMeas!BG96)/T_0)</f>
        <v>4.2293385483036632</v>
      </c>
      <c r="F96" s="3">
        <f>10*LOG10((T_0+NseMeas!BH96)/T_0)</f>
        <v>3.7578722367692938</v>
      </c>
      <c r="G96" s="3">
        <f>CHOOSE(SrcDispSelect,NseMeas!BF96+(IF(UseUserCal,0,K96)),N96,U96)</f>
        <v>0.22933854830366102</v>
      </c>
      <c r="H96" s="3">
        <f>CHOOSE(SrcDispSelect,NseMeas!BJ96,O96,AA96)</f>
        <v>3.0245006045761878E-2</v>
      </c>
      <c r="I96" s="3">
        <f>CHOOSE(SrcDispSelect,NseMeas!BL96,R96,Y96)</f>
        <v>0.18647543402094358</v>
      </c>
      <c r="J96" s="3">
        <f>CHOOSE(SrcDispSelect,NseMeas!BN96,Q96,Z96)</f>
        <v>0.13295619783758311</v>
      </c>
      <c r="K96" s="3">
        <f>CHOOSE(SrcDispSelect,IF(UseUserCal,NseMeas!BP96,ABS(D96-C96)),P96,AB96)</f>
        <v>2.7229219493682755E-3</v>
      </c>
      <c r="L96" s="3">
        <f>CHOOSE(SrcDispSelect,NseMeas!BR96,S96,Z96)</f>
        <v>0</v>
      </c>
      <c r="N96" s="3">
        <f>NseMeas!CC96</f>
        <v>0.18649360544435875</v>
      </c>
      <c r="O96" s="3">
        <f>NseMeas!BW96</f>
        <v>0.18647543402094358</v>
      </c>
      <c r="P96" s="2">
        <f t="shared" si="1"/>
        <v>0</v>
      </c>
      <c r="Q96" s="3">
        <f>NseMeas!CA96</f>
        <v>2.6878157133072068E-3</v>
      </c>
      <c r="R96" s="3">
        <f>NseMeas!BU96</f>
        <v>0</v>
      </c>
      <c r="S96" s="3">
        <f>NseMeas!BY96</f>
        <v>0</v>
      </c>
      <c r="U96" s="3">
        <f>Calibration!AW96</f>
        <v>2.7229219493682755E-3</v>
      </c>
      <c r="V96" s="3">
        <f>Calibration!AY96</f>
        <v>2.6379919433336028E-5</v>
      </c>
      <c r="W96" s="3">
        <f>Calibration!BG96</f>
        <v>7.9892128201410378E-6</v>
      </c>
      <c r="X96" s="3">
        <f>Calibration!BC96</f>
        <v>1.0144898708076197E-5</v>
      </c>
      <c r="Y96" s="3">
        <f>Calibration!BE96</f>
        <v>2.6878157133072068E-3</v>
      </c>
      <c r="Z96" s="3">
        <f>Calibration!BA96</f>
        <v>0</v>
      </c>
      <c r="AA96" s="3">
        <f>Calibration!BI96</f>
        <v>2.9370825516253739E-5</v>
      </c>
    </row>
    <row r="97" spans="1:27">
      <c r="A97" s="2">
        <f>MIN(StopFreqGHz+0.000001,Result!A96+FreqStep)</f>
        <v>26.500001000000001</v>
      </c>
      <c r="B97" s="2">
        <f>DUT!AD98</f>
        <v>20</v>
      </c>
      <c r="C97" s="2">
        <f>DUT!AE98</f>
        <v>4</v>
      </c>
      <c r="D97" s="3">
        <f>10*LOG10((T_0+NseMeas!O97)/T_0)</f>
        <v>4.0000000000000027</v>
      </c>
      <c r="E97" s="3">
        <f>10*LOG10((T_0+NseMeas!BG97)/T_0)</f>
        <v>4.2293385483036632</v>
      </c>
      <c r="F97" s="3">
        <f>10*LOG10((T_0+NseMeas!BH97)/T_0)</f>
        <v>3.7578722367692938</v>
      </c>
      <c r="G97" s="3">
        <f>CHOOSE(SrcDispSelect,NseMeas!BF97+(IF(UseUserCal,0,K97)),N97,U97)</f>
        <v>0.22933854830366102</v>
      </c>
      <c r="H97" s="3">
        <f>CHOOSE(SrcDispSelect,NseMeas!BJ97,O97,AA97)</f>
        <v>3.0245006045761878E-2</v>
      </c>
      <c r="I97" s="3">
        <f>CHOOSE(SrcDispSelect,NseMeas!BL97,R97,Y97)</f>
        <v>0.18647543402094358</v>
      </c>
      <c r="J97" s="3">
        <f>CHOOSE(SrcDispSelect,NseMeas!BN97,Q97,Z97)</f>
        <v>0.13295619783758311</v>
      </c>
      <c r="K97" s="3">
        <f>CHOOSE(SrcDispSelect,IF(UseUserCal,NseMeas!BP97,ABS(D97-C97)),P97,AB97)</f>
        <v>2.7229219493682755E-3</v>
      </c>
      <c r="L97" s="3">
        <f>CHOOSE(SrcDispSelect,NseMeas!BR97,S97,Z97)</f>
        <v>0</v>
      </c>
      <c r="N97" s="3">
        <f>NseMeas!CC97</f>
        <v>0.18649360544435875</v>
      </c>
      <c r="O97" s="3">
        <f>NseMeas!BW97</f>
        <v>0.18647543402094358</v>
      </c>
      <c r="P97" s="2">
        <f t="shared" si="1"/>
        <v>0</v>
      </c>
      <c r="Q97" s="3">
        <f>NseMeas!CA97</f>
        <v>2.6878157133072068E-3</v>
      </c>
      <c r="R97" s="3">
        <f>NseMeas!BU97</f>
        <v>0</v>
      </c>
      <c r="S97" s="3">
        <f>NseMeas!BY97</f>
        <v>0</v>
      </c>
      <c r="U97" s="3">
        <f>Calibration!AW97</f>
        <v>2.7229219493682755E-3</v>
      </c>
      <c r="V97" s="3">
        <f>Calibration!AY97</f>
        <v>2.6379919433336028E-5</v>
      </c>
      <c r="W97" s="3">
        <f>Calibration!BG97</f>
        <v>7.9892128201410378E-6</v>
      </c>
      <c r="X97" s="3">
        <f>Calibration!BC97</f>
        <v>1.0144898708076197E-5</v>
      </c>
      <c r="Y97" s="3">
        <f>Calibration!BE97</f>
        <v>2.6878157133072068E-3</v>
      </c>
      <c r="Z97" s="3">
        <f>Calibration!BA97</f>
        <v>0</v>
      </c>
      <c r="AA97" s="3">
        <f>Calibration!BI97</f>
        <v>2.9370825516253739E-5</v>
      </c>
    </row>
    <row r="98" spans="1:27">
      <c r="A98" s="2">
        <f>MIN(StopFreqGHz+0.000001,Result!A97+FreqStep)</f>
        <v>26.500001000000001</v>
      </c>
      <c r="B98" s="2">
        <f>DUT!AD99</f>
        <v>20</v>
      </c>
      <c r="C98" s="2">
        <f>DUT!AE99</f>
        <v>4</v>
      </c>
      <c r="D98" s="3">
        <f>10*LOG10((T_0+NseMeas!O98)/T_0)</f>
        <v>4.0000000000000027</v>
      </c>
      <c r="E98" s="3">
        <f>10*LOG10((T_0+NseMeas!BG98)/T_0)</f>
        <v>4.2293385483036632</v>
      </c>
      <c r="F98" s="3">
        <f>10*LOG10((T_0+NseMeas!BH98)/T_0)</f>
        <v>3.7578722367692938</v>
      </c>
      <c r="G98" s="3">
        <f>CHOOSE(SrcDispSelect,NseMeas!BF98+(IF(UseUserCal,0,K98)),N98,U98)</f>
        <v>0.22933854830366102</v>
      </c>
      <c r="H98" s="3">
        <f>CHOOSE(SrcDispSelect,NseMeas!BJ98,O98,AA98)</f>
        <v>3.0245006045761878E-2</v>
      </c>
      <c r="I98" s="3">
        <f>CHOOSE(SrcDispSelect,NseMeas!BL98,R98,Y98)</f>
        <v>0.18647543402094358</v>
      </c>
      <c r="J98" s="3">
        <f>CHOOSE(SrcDispSelect,NseMeas!BN98,Q98,Z98)</f>
        <v>0.13295619783758311</v>
      </c>
      <c r="K98" s="3">
        <f>CHOOSE(SrcDispSelect,IF(UseUserCal,NseMeas!BP98,ABS(D98-C98)),P98,AB98)</f>
        <v>2.7229219493682755E-3</v>
      </c>
      <c r="L98" s="3">
        <f>CHOOSE(SrcDispSelect,NseMeas!BR98,S98,Z98)</f>
        <v>0</v>
      </c>
      <c r="N98" s="3">
        <f>NseMeas!CC98</f>
        <v>0.18649360544435875</v>
      </c>
      <c r="O98" s="3">
        <f>NseMeas!BW98</f>
        <v>0.18647543402094358</v>
      </c>
      <c r="P98" s="2">
        <f t="shared" si="1"/>
        <v>0</v>
      </c>
      <c r="Q98" s="3">
        <f>NseMeas!CA98</f>
        <v>2.6878157133072068E-3</v>
      </c>
      <c r="R98" s="3">
        <f>NseMeas!BU98</f>
        <v>0</v>
      </c>
      <c r="S98" s="3">
        <f>NseMeas!BY98</f>
        <v>0</v>
      </c>
      <c r="U98" s="3">
        <f>Calibration!AW98</f>
        <v>2.7229219493682755E-3</v>
      </c>
      <c r="V98" s="3">
        <f>Calibration!AY98</f>
        <v>2.6379919433336028E-5</v>
      </c>
      <c r="W98" s="3">
        <f>Calibration!BG98</f>
        <v>7.9892128201410378E-6</v>
      </c>
      <c r="X98" s="3">
        <f>Calibration!BC98</f>
        <v>1.0144898708076197E-5</v>
      </c>
      <c r="Y98" s="3">
        <f>Calibration!BE98</f>
        <v>2.6878157133072068E-3</v>
      </c>
      <c r="Z98" s="3">
        <f>Calibration!BA98</f>
        <v>0</v>
      </c>
      <c r="AA98" s="3">
        <f>Calibration!BI98</f>
        <v>2.9370825516253739E-5</v>
      </c>
    </row>
    <row r="99" spans="1:27">
      <c r="A99" s="2">
        <f>MIN(StopFreqGHz+0.000001,Result!A98+FreqStep)</f>
        <v>26.500001000000001</v>
      </c>
      <c r="B99" s="2">
        <f>DUT!AD100</f>
        <v>20</v>
      </c>
      <c r="C99" s="2">
        <f>DUT!AE100</f>
        <v>4</v>
      </c>
      <c r="D99" s="3">
        <f>10*LOG10((T_0+NseMeas!O99)/T_0)</f>
        <v>4.0000000000000027</v>
      </c>
      <c r="E99" s="3">
        <f>10*LOG10((T_0+NseMeas!BG99)/T_0)</f>
        <v>4.2293385483036632</v>
      </c>
      <c r="F99" s="3">
        <f>10*LOG10((T_0+NseMeas!BH99)/T_0)</f>
        <v>3.7578722367692938</v>
      </c>
      <c r="G99" s="3">
        <f>CHOOSE(SrcDispSelect,NseMeas!BF99+(IF(UseUserCal,0,K99)),N99,U99)</f>
        <v>0.22933854830366102</v>
      </c>
      <c r="H99" s="3">
        <f>CHOOSE(SrcDispSelect,NseMeas!BJ99,O99,AA99)</f>
        <v>3.0245006045761878E-2</v>
      </c>
      <c r="I99" s="3">
        <f>CHOOSE(SrcDispSelect,NseMeas!BL99,R99,Y99)</f>
        <v>0.18647543402094358</v>
      </c>
      <c r="J99" s="3">
        <f>CHOOSE(SrcDispSelect,NseMeas!BN99,Q99,Z99)</f>
        <v>0.13295619783758311</v>
      </c>
      <c r="K99" s="3">
        <f>CHOOSE(SrcDispSelect,IF(UseUserCal,NseMeas!BP99,ABS(D99-C99)),P99,AB99)</f>
        <v>2.7229219493682755E-3</v>
      </c>
      <c r="L99" s="3">
        <f>CHOOSE(SrcDispSelect,NseMeas!BR99,S99,Z99)</f>
        <v>0</v>
      </c>
      <c r="N99" s="3">
        <f>NseMeas!CC99</f>
        <v>0.18649360544435875</v>
      </c>
      <c r="O99" s="3">
        <f>NseMeas!BW99</f>
        <v>0.18647543402094358</v>
      </c>
      <c r="P99" s="2">
        <f t="shared" si="1"/>
        <v>0</v>
      </c>
      <c r="Q99" s="3">
        <f>NseMeas!CA99</f>
        <v>2.6878157133072068E-3</v>
      </c>
      <c r="R99" s="3">
        <f>NseMeas!BU99</f>
        <v>0</v>
      </c>
      <c r="S99" s="3">
        <f>NseMeas!BY99</f>
        <v>0</v>
      </c>
      <c r="U99" s="3">
        <f>Calibration!AW99</f>
        <v>2.7229219493682755E-3</v>
      </c>
      <c r="V99" s="3">
        <f>Calibration!AY99</f>
        <v>2.6379919433336028E-5</v>
      </c>
      <c r="W99" s="3">
        <f>Calibration!BG99</f>
        <v>7.9892128201410378E-6</v>
      </c>
      <c r="X99" s="3">
        <f>Calibration!BC99</f>
        <v>1.0144898708076197E-5</v>
      </c>
      <c r="Y99" s="3">
        <f>Calibration!BE99</f>
        <v>2.6878157133072068E-3</v>
      </c>
      <c r="Z99" s="3">
        <f>Calibration!BA99</f>
        <v>0</v>
      </c>
      <c r="AA99" s="3">
        <f>Calibration!BI99</f>
        <v>2.9370825516253739E-5</v>
      </c>
    </row>
    <row r="100" spans="1:27">
      <c r="A100" s="2">
        <f>MIN(StopFreqGHz+0.000001,Result!A99+FreqStep)</f>
        <v>26.500001000000001</v>
      </c>
      <c r="B100" s="2">
        <f>DUT!AD101</f>
        <v>20</v>
      </c>
      <c r="C100" s="2">
        <f>DUT!AE101</f>
        <v>4</v>
      </c>
      <c r="D100" s="3">
        <f>10*LOG10((T_0+NseMeas!O100)/T_0)</f>
        <v>4.0000000000000027</v>
      </c>
      <c r="E100" s="3">
        <f>10*LOG10((T_0+NseMeas!BG100)/T_0)</f>
        <v>4.2293385483036632</v>
      </c>
      <c r="F100" s="3">
        <f>10*LOG10((T_0+NseMeas!BH100)/T_0)</f>
        <v>3.7578722367692938</v>
      </c>
      <c r="G100" s="3">
        <f>CHOOSE(SrcDispSelect,NseMeas!BF100+(IF(UseUserCal,0,K100)),N100,U100)</f>
        <v>0.22933854830366102</v>
      </c>
      <c r="H100" s="3">
        <f>CHOOSE(SrcDispSelect,NseMeas!BJ100,O100,AA100)</f>
        <v>3.0245006045761878E-2</v>
      </c>
      <c r="I100" s="3">
        <f>CHOOSE(SrcDispSelect,NseMeas!BL100,R100,Y100)</f>
        <v>0.18647543402094358</v>
      </c>
      <c r="J100" s="3">
        <f>CHOOSE(SrcDispSelect,NseMeas!BN100,Q100,Z100)</f>
        <v>0.13295619783758311</v>
      </c>
      <c r="K100" s="3">
        <f>CHOOSE(SrcDispSelect,IF(UseUserCal,NseMeas!BP100,ABS(D100-C100)),P100,AB100)</f>
        <v>2.7229219493682755E-3</v>
      </c>
      <c r="L100" s="3">
        <f>CHOOSE(SrcDispSelect,NseMeas!BR100,S100,Z100)</f>
        <v>0</v>
      </c>
      <c r="N100" s="3">
        <f>NseMeas!CC100</f>
        <v>0.18649360544435875</v>
      </c>
      <c r="O100" s="3">
        <f>NseMeas!BW100</f>
        <v>0.18647543402094358</v>
      </c>
      <c r="P100" s="2">
        <f t="shared" si="1"/>
        <v>0</v>
      </c>
      <c r="Q100" s="3">
        <f>NseMeas!CA100</f>
        <v>2.6878157133072068E-3</v>
      </c>
      <c r="R100" s="3">
        <f>NseMeas!BU100</f>
        <v>0</v>
      </c>
      <c r="S100" s="3">
        <f>NseMeas!BY100</f>
        <v>0</v>
      </c>
      <c r="U100" s="3">
        <f>Calibration!AW100</f>
        <v>2.7229219493682755E-3</v>
      </c>
      <c r="V100" s="3">
        <f>Calibration!AY100</f>
        <v>2.6379919433336028E-5</v>
      </c>
      <c r="W100" s="3">
        <f>Calibration!BG100</f>
        <v>7.9892128201410378E-6</v>
      </c>
      <c r="X100" s="3">
        <f>Calibration!BC100</f>
        <v>1.0144898708076197E-5</v>
      </c>
      <c r="Y100" s="3">
        <f>Calibration!BE100</f>
        <v>2.6878157133072068E-3</v>
      </c>
      <c r="Z100" s="3">
        <f>Calibration!BA100</f>
        <v>0</v>
      </c>
      <c r="AA100" s="3">
        <f>Calibration!BI100</f>
        <v>2.9370825516253739E-5</v>
      </c>
    </row>
    <row r="101" spans="1:27">
      <c r="A101" s="2">
        <f>MIN(StopFreqGHz+0.000001,Result!A100+FreqStep)</f>
        <v>26.500001000000001</v>
      </c>
      <c r="B101" s="2">
        <f>DUT!AD102</f>
        <v>20</v>
      </c>
      <c r="C101" s="2">
        <f>DUT!AE102</f>
        <v>4</v>
      </c>
      <c r="D101" s="3">
        <f>10*LOG10((T_0+NseMeas!O101)/T_0)</f>
        <v>4.0000000000000027</v>
      </c>
      <c r="E101" s="3">
        <f>10*LOG10((T_0+NseMeas!BG101)/T_0)</f>
        <v>4.2293385483036632</v>
      </c>
      <c r="F101" s="3">
        <f>10*LOG10((T_0+NseMeas!BH101)/T_0)</f>
        <v>3.7578722367692938</v>
      </c>
      <c r="G101" s="3">
        <f>CHOOSE(SrcDispSelect,NseMeas!BF101+(IF(UseUserCal,0,K101)),N101,U101)</f>
        <v>0.22933854830366102</v>
      </c>
      <c r="H101" s="3">
        <f>CHOOSE(SrcDispSelect,NseMeas!BJ101,O101,AA101)</f>
        <v>3.0245006045761878E-2</v>
      </c>
      <c r="I101" s="3">
        <f>CHOOSE(SrcDispSelect,NseMeas!BL101,R101,Y101)</f>
        <v>0.18647543402094358</v>
      </c>
      <c r="J101" s="3">
        <f>CHOOSE(SrcDispSelect,NseMeas!BN101,Q101,Z101)</f>
        <v>0.13295619783758311</v>
      </c>
      <c r="K101" s="3">
        <f>CHOOSE(SrcDispSelect,IF(UseUserCal,NseMeas!BP101,ABS(D101-C101)),P101,AB101)</f>
        <v>2.7229219493682755E-3</v>
      </c>
      <c r="L101" s="3">
        <f>CHOOSE(SrcDispSelect,NseMeas!BR101,S101,Z101)</f>
        <v>0</v>
      </c>
      <c r="N101" s="3">
        <f>NseMeas!CC101</f>
        <v>0.18649360544435875</v>
      </c>
      <c r="O101" s="3">
        <f>NseMeas!BW101</f>
        <v>0.18647543402094358</v>
      </c>
      <c r="P101" s="2">
        <f t="shared" si="1"/>
        <v>0</v>
      </c>
      <c r="Q101" s="3">
        <f>NseMeas!CA101</f>
        <v>2.6878157133072068E-3</v>
      </c>
      <c r="R101" s="3">
        <f>NseMeas!BU101</f>
        <v>0</v>
      </c>
      <c r="S101" s="3">
        <f>NseMeas!BY101</f>
        <v>0</v>
      </c>
      <c r="U101" s="3">
        <f>Calibration!AW101</f>
        <v>2.7229219493682755E-3</v>
      </c>
      <c r="V101" s="3">
        <f>Calibration!AY101</f>
        <v>2.6379919433336028E-5</v>
      </c>
      <c r="W101" s="3">
        <f>Calibration!BG101</f>
        <v>7.9892128201410378E-6</v>
      </c>
      <c r="X101" s="3">
        <f>Calibration!BC101</f>
        <v>1.0144898708076197E-5</v>
      </c>
      <c r="Y101" s="3">
        <f>Calibration!BE101</f>
        <v>2.6878157133072068E-3</v>
      </c>
      <c r="Z101" s="3">
        <f>Calibration!BA101</f>
        <v>0</v>
      </c>
      <c r="AA101" s="3">
        <f>Calibration!BI101</f>
        <v>2.9370825516253739E-5</v>
      </c>
    </row>
    <row r="102" spans="1:27">
      <c r="A102" s="2">
        <f>MIN(StopFreqGHz+0.000001,Result!A101+FreqStep)</f>
        <v>26.500001000000001</v>
      </c>
      <c r="B102" s="2">
        <f>DUT!AD103</f>
        <v>20</v>
      </c>
      <c r="C102" s="2">
        <f>DUT!AE103</f>
        <v>4</v>
      </c>
      <c r="D102" s="3">
        <f>10*LOG10((T_0+NseMeas!O102)/T_0)</f>
        <v>4.0000000000000027</v>
      </c>
      <c r="E102" s="3">
        <f>10*LOG10((T_0+NseMeas!BG102)/T_0)</f>
        <v>4.2293385483036632</v>
      </c>
      <c r="F102" s="3">
        <f>10*LOG10((T_0+NseMeas!BH102)/T_0)</f>
        <v>3.7578722367692938</v>
      </c>
      <c r="G102" s="3">
        <f>CHOOSE(SrcDispSelect,NseMeas!BF102+(IF(UseUserCal,0,K102)),N102,U102)</f>
        <v>0.22933854830366102</v>
      </c>
      <c r="H102" s="3">
        <f>CHOOSE(SrcDispSelect,NseMeas!BJ102,O102,AA102)</f>
        <v>3.0245006045761878E-2</v>
      </c>
      <c r="I102" s="3">
        <f>CHOOSE(SrcDispSelect,NseMeas!BL102,R102,Y102)</f>
        <v>0.18647543402094358</v>
      </c>
      <c r="J102" s="3">
        <f>CHOOSE(SrcDispSelect,NseMeas!BN102,Q102,Z102)</f>
        <v>0.13295619783758311</v>
      </c>
      <c r="K102" s="3">
        <f>CHOOSE(SrcDispSelect,IF(UseUserCal,NseMeas!BP102,ABS(D102-C102)),P102,AB102)</f>
        <v>2.7229219493682755E-3</v>
      </c>
      <c r="L102" s="3">
        <f>CHOOSE(SrcDispSelect,NseMeas!BR102,S102,Z102)</f>
        <v>0</v>
      </c>
      <c r="N102" s="3">
        <f>NseMeas!CC102</f>
        <v>0.18649360544435875</v>
      </c>
      <c r="O102" s="3">
        <f>NseMeas!BW102</f>
        <v>0.18647543402094358</v>
      </c>
      <c r="P102" s="2">
        <f t="shared" si="1"/>
        <v>0</v>
      </c>
      <c r="Q102" s="3">
        <f>NseMeas!CA102</f>
        <v>2.6878157133072068E-3</v>
      </c>
      <c r="R102" s="3">
        <f>NseMeas!BU102</f>
        <v>0</v>
      </c>
      <c r="S102" s="3">
        <f>NseMeas!BY102</f>
        <v>0</v>
      </c>
      <c r="U102" s="3">
        <f>Calibration!AW102</f>
        <v>2.7229219493682755E-3</v>
      </c>
      <c r="V102" s="3">
        <f>Calibration!AY102</f>
        <v>2.6379919433336028E-5</v>
      </c>
      <c r="W102" s="3">
        <f>Calibration!BG102</f>
        <v>7.9892128201410378E-6</v>
      </c>
      <c r="X102" s="3">
        <f>Calibration!BC102</f>
        <v>1.0144898708076197E-5</v>
      </c>
      <c r="Y102" s="3">
        <f>Calibration!BE102</f>
        <v>2.6878157133072068E-3</v>
      </c>
      <c r="Z102" s="3">
        <f>Calibration!BA102</f>
        <v>0</v>
      </c>
      <c r="AA102" s="3">
        <f>Calibration!BI102</f>
        <v>2.9370825516253739E-5</v>
      </c>
    </row>
    <row r="103" spans="1:27">
      <c r="A103" s="2">
        <f>MIN(StopFreqGHz+0.000001,Result!A102+FreqStep)</f>
        <v>26.500001000000001</v>
      </c>
      <c r="B103" s="2">
        <f>DUT!AD104</f>
        <v>20</v>
      </c>
      <c r="C103" s="2">
        <f>DUT!AE104</f>
        <v>4</v>
      </c>
      <c r="D103" s="3">
        <f>10*LOG10((T_0+NseMeas!O103)/T_0)</f>
        <v>4.0000000000000027</v>
      </c>
      <c r="E103" s="3">
        <f>10*LOG10((T_0+NseMeas!BG103)/T_0)</f>
        <v>4.2293385483036632</v>
      </c>
      <c r="F103" s="3">
        <f>10*LOG10((T_0+NseMeas!BH103)/T_0)</f>
        <v>3.7578722367692938</v>
      </c>
      <c r="G103" s="3">
        <f>CHOOSE(SrcDispSelect,NseMeas!BF103+(IF(UseUserCal,0,K103)),N103,U103)</f>
        <v>0.22933854830366102</v>
      </c>
      <c r="H103" s="3">
        <f>CHOOSE(SrcDispSelect,NseMeas!BJ103,O103,AA103)</f>
        <v>3.0245006045761878E-2</v>
      </c>
      <c r="I103" s="3">
        <f>CHOOSE(SrcDispSelect,NseMeas!BL103,R103,Y103)</f>
        <v>0.18647543402094358</v>
      </c>
      <c r="J103" s="3">
        <f>CHOOSE(SrcDispSelect,NseMeas!BN103,Q103,Z103)</f>
        <v>0.13295619783758311</v>
      </c>
      <c r="K103" s="3">
        <f>CHOOSE(SrcDispSelect,IF(UseUserCal,NseMeas!BP103,ABS(D103-C103)),P103,AB103)</f>
        <v>2.7229219493682755E-3</v>
      </c>
      <c r="L103" s="3">
        <f>CHOOSE(SrcDispSelect,NseMeas!BR103,S103,Z103)</f>
        <v>0</v>
      </c>
      <c r="N103" s="3">
        <f>NseMeas!CC103</f>
        <v>0.18649360544435875</v>
      </c>
      <c r="O103" s="3">
        <f>NseMeas!BW103</f>
        <v>0.18647543402094358</v>
      </c>
      <c r="P103" s="2">
        <f t="shared" si="1"/>
        <v>0</v>
      </c>
      <c r="Q103" s="3">
        <f>NseMeas!CA103</f>
        <v>2.6878157133072068E-3</v>
      </c>
      <c r="R103" s="3">
        <f>NseMeas!BU103</f>
        <v>0</v>
      </c>
      <c r="S103" s="3">
        <f>NseMeas!BY103</f>
        <v>0</v>
      </c>
      <c r="U103" s="3">
        <f>Calibration!AW103</f>
        <v>2.7229219493682755E-3</v>
      </c>
      <c r="V103" s="3">
        <f>Calibration!AY103</f>
        <v>2.6379919433336028E-5</v>
      </c>
      <c r="W103" s="3">
        <f>Calibration!BG103</f>
        <v>7.9892128201410378E-6</v>
      </c>
      <c r="X103" s="3">
        <f>Calibration!BC103</f>
        <v>1.0144898708076197E-5</v>
      </c>
      <c r="Y103" s="3">
        <f>Calibration!BE103</f>
        <v>2.6878157133072068E-3</v>
      </c>
      <c r="Z103" s="3">
        <f>Calibration!BA103</f>
        <v>0</v>
      </c>
      <c r="AA103" s="3">
        <f>Calibration!BI103</f>
        <v>2.9370825516253739E-5</v>
      </c>
    </row>
    <row r="104" spans="1:27">
      <c r="A104" s="2">
        <f>MIN(StopFreqGHz+0.000001,Result!A103+FreqStep)</f>
        <v>26.500001000000001</v>
      </c>
      <c r="B104" s="2">
        <f>DUT!AD105</f>
        <v>20</v>
      </c>
      <c r="C104" s="2">
        <f>DUT!AE105</f>
        <v>4</v>
      </c>
      <c r="D104" s="3">
        <f>10*LOG10((T_0+NseMeas!O104)/T_0)</f>
        <v>4.0000000000000027</v>
      </c>
      <c r="E104" s="3">
        <f>10*LOG10((T_0+NseMeas!BG104)/T_0)</f>
        <v>4.2293385483036632</v>
      </c>
      <c r="F104" s="3">
        <f>10*LOG10((T_0+NseMeas!BH104)/T_0)</f>
        <v>3.7578722367692938</v>
      </c>
      <c r="G104" s="3">
        <f>CHOOSE(SrcDispSelect,NseMeas!BF104+(IF(UseUserCal,0,K104)),N104,U104)</f>
        <v>0.22933854830366102</v>
      </c>
      <c r="H104" s="3">
        <f>CHOOSE(SrcDispSelect,NseMeas!BJ104,O104,AA104)</f>
        <v>3.0245006045761878E-2</v>
      </c>
      <c r="I104" s="3">
        <f>CHOOSE(SrcDispSelect,NseMeas!BL104,R104,Y104)</f>
        <v>0.18647543402094358</v>
      </c>
      <c r="J104" s="3">
        <f>CHOOSE(SrcDispSelect,NseMeas!BN104,Q104,Z104)</f>
        <v>0.13295619783758311</v>
      </c>
      <c r="K104" s="3">
        <f>CHOOSE(SrcDispSelect,IF(UseUserCal,NseMeas!BP104,ABS(D104-C104)),P104,AB104)</f>
        <v>2.7229219493682755E-3</v>
      </c>
      <c r="L104" s="3">
        <f>CHOOSE(SrcDispSelect,NseMeas!BR104,S104,Z104)</f>
        <v>0</v>
      </c>
      <c r="N104" s="3">
        <f>NseMeas!CC104</f>
        <v>0.18649360544435875</v>
      </c>
      <c r="O104" s="3">
        <f>NseMeas!BW104</f>
        <v>0.18647543402094358</v>
      </c>
      <c r="P104" s="2">
        <f t="shared" si="1"/>
        <v>0</v>
      </c>
      <c r="Q104" s="3">
        <f>NseMeas!CA104</f>
        <v>2.6878157133072068E-3</v>
      </c>
      <c r="R104" s="3">
        <f>NseMeas!BU104</f>
        <v>0</v>
      </c>
      <c r="S104" s="3">
        <f>NseMeas!BY104</f>
        <v>0</v>
      </c>
      <c r="U104" s="3">
        <f>Calibration!AW104</f>
        <v>2.7229219493682755E-3</v>
      </c>
      <c r="V104" s="3">
        <f>Calibration!AY104</f>
        <v>2.6379919433336028E-5</v>
      </c>
      <c r="W104" s="3">
        <f>Calibration!BG104</f>
        <v>7.9892128201410378E-6</v>
      </c>
      <c r="X104" s="3">
        <f>Calibration!BC104</f>
        <v>1.0144898708076197E-5</v>
      </c>
      <c r="Y104" s="3">
        <f>Calibration!BE104</f>
        <v>2.6878157133072068E-3</v>
      </c>
      <c r="Z104" s="3">
        <f>Calibration!BA104</f>
        <v>0</v>
      </c>
      <c r="AA104" s="3">
        <f>Calibration!BI104</f>
        <v>2.9370825516253739E-5</v>
      </c>
    </row>
    <row r="105" spans="1:27">
      <c r="A105" s="2">
        <f>MIN(StopFreqGHz+0.000001,Result!A104+FreqStep)</f>
        <v>26.500001000000001</v>
      </c>
      <c r="B105" s="2">
        <f>DUT!AD106</f>
        <v>20</v>
      </c>
      <c r="C105" s="2">
        <f>DUT!AE106</f>
        <v>4</v>
      </c>
      <c r="D105" s="3">
        <f>10*LOG10((T_0+NseMeas!O105)/T_0)</f>
        <v>4.0000000000000027</v>
      </c>
      <c r="E105" s="3">
        <f>10*LOG10((T_0+NseMeas!BG105)/T_0)</f>
        <v>4.2293385483036632</v>
      </c>
      <c r="F105" s="3">
        <f>10*LOG10((T_0+NseMeas!BH105)/T_0)</f>
        <v>3.7578722367692938</v>
      </c>
      <c r="G105" s="3">
        <f>CHOOSE(SrcDispSelect,NseMeas!BF105+(IF(UseUserCal,0,K105)),N105,U105)</f>
        <v>0.22933854830366102</v>
      </c>
      <c r="H105" s="3">
        <f>CHOOSE(SrcDispSelect,NseMeas!BJ105,O105,AA105)</f>
        <v>3.0245006045761878E-2</v>
      </c>
      <c r="I105" s="3">
        <f>CHOOSE(SrcDispSelect,NseMeas!BL105,R105,Y105)</f>
        <v>0.18647543402094358</v>
      </c>
      <c r="J105" s="3">
        <f>CHOOSE(SrcDispSelect,NseMeas!BN105,Q105,Z105)</f>
        <v>0.13295619783758311</v>
      </c>
      <c r="K105" s="3">
        <f>CHOOSE(SrcDispSelect,IF(UseUserCal,NseMeas!BP105,ABS(D105-C105)),P105,AB105)</f>
        <v>2.7229219493682755E-3</v>
      </c>
      <c r="L105" s="3">
        <f>CHOOSE(SrcDispSelect,NseMeas!BR105,S105,Z105)</f>
        <v>0</v>
      </c>
      <c r="N105" s="3">
        <f>NseMeas!CC105</f>
        <v>0.18649360544435875</v>
      </c>
      <c r="O105" s="3">
        <f>NseMeas!BW105</f>
        <v>0.18647543402094358</v>
      </c>
      <c r="P105" s="2">
        <f t="shared" si="1"/>
        <v>0</v>
      </c>
      <c r="Q105" s="3">
        <f>NseMeas!CA105</f>
        <v>2.6878157133072068E-3</v>
      </c>
      <c r="R105" s="3">
        <f>NseMeas!BU105</f>
        <v>0</v>
      </c>
      <c r="S105" s="3">
        <f>NseMeas!BY105</f>
        <v>0</v>
      </c>
      <c r="U105" s="3">
        <f>Calibration!AW105</f>
        <v>2.7229219493682755E-3</v>
      </c>
      <c r="V105" s="3">
        <f>Calibration!AY105</f>
        <v>2.6379919433336028E-5</v>
      </c>
      <c r="W105" s="3">
        <f>Calibration!BG105</f>
        <v>7.9892128201410378E-6</v>
      </c>
      <c r="X105" s="3">
        <f>Calibration!BC105</f>
        <v>1.0144898708076197E-5</v>
      </c>
      <c r="Y105" s="3">
        <f>Calibration!BE105</f>
        <v>2.6878157133072068E-3</v>
      </c>
      <c r="Z105" s="3">
        <f>Calibration!BA105</f>
        <v>0</v>
      </c>
      <c r="AA105" s="3">
        <f>Calibration!BI105</f>
        <v>2.9370825516253739E-5</v>
      </c>
    </row>
    <row r="106" spans="1:27">
      <c r="A106" s="2">
        <f>MIN(StopFreqGHz+0.000001,Result!A105+FreqStep)</f>
        <v>26.500001000000001</v>
      </c>
      <c r="B106" s="2">
        <f>DUT!AD107</f>
        <v>20</v>
      </c>
      <c r="C106" s="2">
        <f>DUT!AE107</f>
        <v>4</v>
      </c>
      <c r="D106" s="3">
        <f>10*LOG10((T_0+NseMeas!O106)/T_0)</f>
        <v>4.0000000000000027</v>
      </c>
      <c r="E106" s="3">
        <f>10*LOG10((T_0+NseMeas!BG106)/T_0)</f>
        <v>4.2293385483036632</v>
      </c>
      <c r="F106" s="3">
        <f>10*LOG10((T_0+NseMeas!BH106)/T_0)</f>
        <v>3.7578722367692938</v>
      </c>
      <c r="G106" s="3">
        <f>CHOOSE(SrcDispSelect,NseMeas!BF106+(IF(UseUserCal,0,K106)),N106,U106)</f>
        <v>0.22933854830366102</v>
      </c>
      <c r="H106" s="3">
        <f>CHOOSE(SrcDispSelect,NseMeas!BJ106,O106,AA106)</f>
        <v>3.0245006045761878E-2</v>
      </c>
      <c r="I106" s="3">
        <f>CHOOSE(SrcDispSelect,NseMeas!BL106,R106,Y106)</f>
        <v>0.18647543402094358</v>
      </c>
      <c r="J106" s="3">
        <f>CHOOSE(SrcDispSelect,NseMeas!BN106,Q106,Z106)</f>
        <v>0.13295619783758311</v>
      </c>
      <c r="K106" s="3">
        <f>CHOOSE(SrcDispSelect,IF(UseUserCal,NseMeas!BP106,ABS(D106-C106)),P106,AB106)</f>
        <v>2.7229219493682755E-3</v>
      </c>
      <c r="L106" s="3">
        <f>CHOOSE(SrcDispSelect,NseMeas!BR106,S106,Z106)</f>
        <v>0</v>
      </c>
      <c r="N106" s="3">
        <f>NseMeas!CC106</f>
        <v>0.18649360544435875</v>
      </c>
      <c r="O106" s="3">
        <f>NseMeas!BW106</f>
        <v>0.18647543402094358</v>
      </c>
      <c r="P106" s="2">
        <f t="shared" si="1"/>
        <v>0</v>
      </c>
      <c r="Q106" s="3">
        <f>NseMeas!CA106</f>
        <v>2.6878157133072068E-3</v>
      </c>
      <c r="R106" s="3">
        <f>NseMeas!BU106</f>
        <v>0</v>
      </c>
      <c r="S106" s="3">
        <f>NseMeas!BY106</f>
        <v>0</v>
      </c>
      <c r="U106" s="3">
        <f>Calibration!AW106</f>
        <v>2.7229219493682755E-3</v>
      </c>
      <c r="V106" s="3">
        <f>Calibration!AY106</f>
        <v>2.6379919433336028E-5</v>
      </c>
      <c r="W106" s="3">
        <f>Calibration!BG106</f>
        <v>7.9892128201410378E-6</v>
      </c>
      <c r="X106" s="3">
        <f>Calibration!BC106</f>
        <v>1.0144898708076197E-5</v>
      </c>
      <c r="Y106" s="3">
        <f>Calibration!BE106</f>
        <v>2.6878157133072068E-3</v>
      </c>
      <c r="Z106" s="3">
        <f>Calibration!BA106</f>
        <v>0</v>
      </c>
      <c r="AA106" s="3">
        <f>Calibration!BI106</f>
        <v>2.9370825516253739E-5</v>
      </c>
    </row>
  </sheetData>
  <sheetProtection selectLockedCells="1" selectUnlockedCells="1"/>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49" operator="greaterThan" id="{569AC41A-8A03-49A8-99A2-D06631ADB092}">
            <xm:f>DashBoard!$K$6</xm:f>
            <x14:dxf>
              <font>
                <color theme="0"/>
              </font>
            </x14:dxf>
          </x14:cfRule>
          <xm:sqref>A5:A106</xm:sqref>
        </x14:conditionalFormatting>
        <x14:conditionalFormatting xmlns:xm="http://schemas.microsoft.com/office/excel/2006/main">
          <x14:cfRule type="expression" priority="150" id="{2AD1F3AC-242C-42F8-A530-603EFCE0BFFB}">
            <xm:f>$A6&gt;DashBoard!$K$6</xm:f>
            <x14:dxf>
              <font>
                <color theme="0"/>
              </font>
            </x14:dxf>
          </x14:cfRule>
          <xm:sqref>B6:AA106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AH107"/>
  <sheetViews>
    <sheetView workbookViewId="0">
      <selection activeCell="AH31" sqref="AH31"/>
    </sheetView>
  </sheetViews>
  <sheetFormatPr defaultColWidth="8.81640625" defaultRowHeight="14.5"/>
  <cols>
    <col min="1" max="1" width="17" style="2" customWidth="1"/>
    <col min="2" max="2" width="7.7265625" style="2" customWidth="1"/>
    <col min="3" max="3" width="7.453125" style="2" customWidth="1"/>
    <col min="4" max="4" width="6.7265625" style="2" customWidth="1"/>
    <col min="5" max="5" width="9.81640625" style="2" customWidth="1"/>
    <col min="6" max="6" width="11.26953125" style="2" customWidth="1"/>
    <col min="7" max="7" width="12.1796875" style="2" customWidth="1"/>
    <col min="8" max="8" width="10.7265625" style="2" customWidth="1"/>
    <col min="9" max="9" width="11.26953125" style="2" customWidth="1"/>
    <col min="10" max="10" width="11.1796875" style="78" hidden="1" customWidth="1"/>
    <col min="11" max="11" width="8.7265625" style="2" hidden="1" customWidth="1"/>
    <col min="12" max="17" width="8.81640625" style="2" hidden="1" customWidth="1"/>
    <col min="18" max="19" width="14.26953125" style="2" hidden="1" customWidth="1"/>
    <col min="20" max="20" width="13.54296875" style="2" hidden="1" customWidth="1"/>
    <col min="21" max="26" width="8.81640625" style="2" hidden="1" customWidth="1"/>
    <col min="27" max="27" width="0" style="2" hidden="1" customWidth="1"/>
    <col min="28" max="29" width="14.26953125" style="2" hidden="1" customWidth="1"/>
    <col min="30" max="30" width="13.1796875" style="2" hidden="1" customWidth="1"/>
    <col min="31" max="32" width="6.81640625" style="2" customWidth="1"/>
    <col min="33" max="33" width="8.81640625" style="2" customWidth="1"/>
    <col min="34" max="16384" width="8.81640625" style="2"/>
  </cols>
  <sheetData>
    <row r="1" spans="1:34">
      <c r="A1" s="22" t="s">
        <v>237</v>
      </c>
      <c r="B1" s="6"/>
      <c r="C1" s="21" t="s">
        <v>236</v>
      </c>
      <c r="D1" s="21"/>
      <c r="E1" s="23"/>
      <c r="F1" s="23"/>
      <c r="G1" s="23"/>
      <c r="H1" s="23"/>
      <c r="I1" s="24"/>
      <c r="J1" s="20"/>
    </row>
    <row r="2" spans="1:34" s="4" customFormat="1">
      <c r="A2" s="204" t="s">
        <v>201</v>
      </c>
      <c r="B2" s="205"/>
      <c r="C2" s="205"/>
      <c r="D2" s="205"/>
      <c r="E2" s="205"/>
      <c r="F2" s="205"/>
      <c r="G2" s="205"/>
      <c r="H2" s="205"/>
      <c r="I2" s="206"/>
      <c r="J2" s="80"/>
    </row>
    <row r="3" spans="1:34">
      <c r="A3" s="26" t="s">
        <v>194</v>
      </c>
      <c r="B3" s="27"/>
      <c r="C3" s="27"/>
      <c r="D3" s="27"/>
      <c r="E3" s="27"/>
      <c r="F3" s="27"/>
      <c r="G3" s="27"/>
      <c r="H3" s="27"/>
      <c r="I3" s="28"/>
      <c r="J3" s="20"/>
      <c r="S3" s="2">
        <f>StartFreqGHz</f>
        <v>0.1</v>
      </c>
      <c r="AA3" s="2" t="s">
        <v>44</v>
      </c>
      <c r="AD3" s="2" t="s">
        <v>203</v>
      </c>
    </row>
    <row r="4" spans="1:34">
      <c r="A4" s="26" t="s">
        <v>193</v>
      </c>
      <c r="B4" s="27"/>
      <c r="C4" s="27"/>
      <c r="D4" s="27"/>
      <c r="E4" s="27"/>
      <c r="F4" s="27"/>
      <c r="G4" s="27"/>
      <c r="H4" s="27"/>
      <c r="I4" s="28"/>
      <c r="J4" s="20"/>
      <c r="M4" s="2" t="s">
        <v>0</v>
      </c>
      <c r="S4" s="2">
        <f>FreqStep</f>
        <v>0.52800000000000002</v>
      </c>
      <c r="T4" s="2" t="s">
        <v>202</v>
      </c>
      <c r="U4" s="2" t="s">
        <v>152</v>
      </c>
      <c r="V4" s="2" t="s">
        <v>198</v>
      </c>
      <c r="W4" s="2" t="s">
        <v>199</v>
      </c>
      <c r="X4" s="2" t="s">
        <v>200</v>
      </c>
      <c r="AA4" s="2" t="s">
        <v>40</v>
      </c>
      <c r="AD4" s="2">
        <f>NseSrcGamConf</f>
        <v>0.70710678118654757</v>
      </c>
      <c r="AH4" s="2" t="s">
        <v>0</v>
      </c>
    </row>
    <row r="5" spans="1:34">
      <c r="A5" s="26" t="s">
        <v>192</v>
      </c>
      <c r="B5" s="27"/>
      <c r="C5" s="27"/>
      <c r="D5" s="27"/>
      <c r="E5" s="27"/>
      <c r="F5" s="27"/>
      <c r="G5" s="27"/>
      <c r="H5" s="27"/>
      <c r="I5" s="28"/>
      <c r="J5" s="20"/>
      <c r="S5" s="2">
        <f>StopFreqGHz</f>
        <v>26.5</v>
      </c>
      <c r="T5" s="2" t="s">
        <v>0</v>
      </c>
      <c r="U5" s="25">
        <f>N10</f>
        <v>15.5</v>
      </c>
      <c r="V5" s="25">
        <f>O10</f>
        <v>0.1</v>
      </c>
      <c r="W5" s="25">
        <f>P10</f>
        <v>0.1</v>
      </c>
      <c r="X5" s="25">
        <f>Q10</f>
        <v>0.04</v>
      </c>
      <c r="AA5" s="2" t="s">
        <v>21</v>
      </c>
      <c r="AB5" s="2" t="s">
        <v>24</v>
      </c>
      <c r="AC5" s="2" t="s">
        <v>86</v>
      </c>
      <c r="AD5" s="2" t="s">
        <v>87</v>
      </c>
      <c r="AF5" s="2" t="s">
        <v>0</v>
      </c>
    </row>
    <row r="6" spans="1:34">
      <c r="A6" s="26" t="s">
        <v>190</v>
      </c>
      <c r="B6" s="27"/>
      <c r="C6" s="27"/>
      <c r="D6" s="27"/>
      <c r="E6" s="27"/>
      <c r="F6" s="27"/>
      <c r="G6" s="27"/>
      <c r="H6" s="27"/>
      <c r="I6" s="28"/>
      <c r="J6" s="20"/>
      <c r="S6" s="2">
        <v>1</v>
      </c>
      <c r="T6" s="2">
        <f>S3</f>
        <v>0.1</v>
      </c>
      <c r="U6" s="2">
        <f t="dataTable" ref="U6:X106" dt2D="0" dtr="0" r1="M10"/>
        <v>18.5</v>
      </c>
      <c r="V6" s="2">
        <v>0.1</v>
      </c>
      <c r="W6" s="2">
        <v>0.06</v>
      </c>
      <c r="X6" s="2">
        <v>0.1</v>
      </c>
      <c r="AA6" s="2">
        <f>CHOOSE(CalNseSrc_DataType,Cal_SF_ENR,'346'!R5,'346'!R5,'346'!R5,'346'!R5,'346'!R5,U6)</f>
        <v>12</v>
      </c>
      <c r="AB6" s="2">
        <f t="shared" ref="AB6:AB69" si="0">CHOOSE(ENRU_DataType,SF_ENRU,V6)</f>
        <v>0.1</v>
      </c>
      <c r="AC6" s="2">
        <f>CHOOSE(CalNseSrc_DataType,CalSF_NSgamma,'346'!Q5,'346'!Q5,'346'!Q5,'346'!Q5,'346'!Q5,W6)</f>
        <v>0.22</v>
      </c>
      <c r="AD6" s="2">
        <f>CHOOSE(CalNseSrc_DataType,Cal_SF_GamCold,'346'!Q5,'346'!Q5,'346'!Q5,'346'!Q5,'346'!Q5,X6)</f>
        <v>0.12</v>
      </c>
      <c r="AG6" s="2" t="s">
        <v>0</v>
      </c>
    </row>
    <row r="7" spans="1:34">
      <c r="A7" s="26" t="s">
        <v>191</v>
      </c>
      <c r="B7" s="27"/>
      <c r="C7" s="27"/>
      <c r="D7" s="27"/>
      <c r="E7" s="27"/>
      <c r="F7" s="27"/>
      <c r="G7" s="27"/>
      <c r="H7" s="27"/>
      <c r="I7" s="28"/>
      <c r="J7" s="20"/>
      <c r="S7" s="2">
        <f>1+S6</f>
        <v>2</v>
      </c>
      <c r="T7" s="2">
        <f t="shared" ref="T7:T70" si="1">IF($S$4&gt;=0,IF(T6&gt;=$S$5,$S$5+0.0001,T6+$S$4),IF(T6&lt;=$S$5,$S$5-0.0001,T6+$S$4))</f>
        <v>0.628</v>
      </c>
      <c r="U7" s="2">
        <v>18.5</v>
      </c>
      <c r="V7" s="2">
        <v>0.1</v>
      </c>
      <c r="W7" s="2">
        <v>0.06</v>
      </c>
      <c r="X7" s="2">
        <v>0.1</v>
      </c>
      <c r="AA7" s="2">
        <f>CHOOSE(CalNseSrc_DataType,Cal_SF_ENR,'346'!R6,'346'!R6,'346'!R6,'346'!R6,'346'!R6,U7)</f>
        <v>12</v>
      </c>
      <c r="AB7" s="2">
        <f t="shared" si="0"/>
        <v>0.1</v>
      </c>
      <c r="AC7" s="2">
        <f>CHOOSE(CalNseSrc_DataType,CalSF_NSgamma,'346'!Q6,'346'!Q6,'346'!Q6,'346'!Q6,'346'!Q6,W7)</f>
        <v>0.22</v>
      </c>
      <c r="AD7" s="2">
        <f>CHOOSE(CalNseSrc_DataType,Cal_SF_GamCold,'346'!Q6,'346'!Q6,'346'!Q6,'346'!Q6,'346'!Q6,X7)</f>
        <v>0.12</v>
      </c>
    </row>
    <row r="8" spans="1:34">
      <c r="A8" s="26" t="s">
        <v>189</v>
      </c>
      <c r="B8" s="27"/>
      <c r="C8" s="27"/>
      <c r="D8" s="27"/>
      <c r="E8" s="27"/>
      <c r="F8" s="27"/>
      <c r="G8" s="27"/>
      <c r="H8" s="27"/>
      <c r="I8" s="28"/>
      <c r="J8" s="20"/>
      <c r="S8" s="2">
        <f t="shared" ref="S8:S71" si="2">1+S7</f>
        <v>3</v>
      </c>
      <c r="T8" s="2">
        <f t="shared" si="1"/>
        <v>1.1560000000000001</v>
      </c>
      <c r="U8" s="2">
        <v>18.5</v>
      </c>
      <c r="V8" s="2">
        <v>0.1</v>
      </c>
      <c r="W8" s="2">
        <v>0.06</v>
      </c>
      <c r="X8" s="2">
        <v>0.1</v>
      </c>
      <c r="AA8" s="2">
        <f>CHOOSE(CalNseSrc_DataType,Cal_SF_ENR,'346'!R7,'346'!R7,'346'!R7,'346'!R7,'346'!R7,U8)</f>
        <v>12</v>
      </c>
      <c r="AB8" s="2">
        <f t="shared" si="0"/>
        <v>0.1</v>
      </c>
      <c r="AC8" s="2">
        <f>CHOOSE(CalNseSrc_DataType,CalSF_NSgamma,'346'!Q7,'346'!Q7,'346'!Q7,'346'!Q7,'346'!Q7,W8)</f>
        <v>0.22</v>
      </c>
      <c r="AD8" s="2">
        <f>CHOOSE(CalNseSrc_DataType,Cal_SF_GamCold,'346'!Q7,'346'!Q7,'346'!Q7,'346'!Q7,'346'!Q7,X8)</f>
        <v>0.12</v>
      </c>
    </row>
    <row r="9" spans="1:34">
      <c r="A9" s="26" t="s">
        <v>181</v>
      </c>
      <c r="B9" s="27"/>
      <c r="C9" s="27" t="s">
        <v>152</v>
      </c>
      <c r="D9" s="27"/>
      <c r="E9" s="27" t="s">
        <v>182</v>
      </c>
      <c r="F9" s="27" t="s">
        <v>183</v>
      </c>
      <c r="G9" s="27" t="s">
        <v>183</v>
      </c>
      <c r="H9" s="27" t="s">
        <v>183</v>
      </c>
      <c r="I9" s="28" t="s">
        <v>183</v>
      </c>
      <c r="J9" s="2" t="s">
        <v>309</v>
      </c>
      <c r="K9" s="2" t="s">
        <v>196</v>
      </c>
      <c r="L9" s="2" t="s">
        <v>319</v>
      </c>
      <c r="M9" s="2" t="s">
        <v>197</v>
      </c>
      <c r="N9" s="2" t="s">
        <v>152</v>
      </c>
      <c r="O9" s="2" t="s">
        <v>198</v>
      </c>
      <c r="P9" s="2" t="s">
        <v>199</v>
      </c>
      <c r="Q9" s="2" t="s">
        <v>200</v>
      </c>
      <c r="S9" s="2">
        <f t="shared" si="2"/>
        <v>4</v>
      </c>
      <c r="T9" s="2">
        <f t="shared" si="1"/>
        <v>1.6840000000000002</v>
      </c>
      <c r="U9" s="2">
        <v>18.399999999999999</v>
      </c>
      <c r="V9" s="2">
        <v>0.1</v>
      </c>
      <c r="W9" s="2">
        <v>0.05</v>
      </c>
      <c r="X9" s="2">
        <v>0.09</v>
      </c>
      <c r="AA9" s="2">
        <f>CHOOSE(CalNseSrc_DataType,Cal_SF_ENR,'346'!R8,'346'!R8,'346'!R8,'346'!R8,'346'!R8,U9)</f>
        <v>12</v>
      </c>
      <c r="AB9" s="2">
        <f t="shared" si="0"/>
        <v>0.1</v>
      </c>
      <c r="AC9" s="2">
        <f>CHOOSE(CalNseSrc_DataType,CalSF_NSgamma,'346'!Q8,'346'!Q8,'346'!Q8,'346'!Q8,'346'!Q8,W9)</f>
        <v>0.22</v>
      </c>
      <c r="AD9" s="2">
        <f>CHOOSE(CalNseSrc_DataType,Cal_SF_GamCold,'346'!Q8,'346'!Q8,'346'!Q8,'346'!Q8,'346'!Q8,X9)</f>
        <v>0.12</v>
      </c>
    </row>
    <row r="10" spans="1:34">
      <c r="A10" s="26"/>
      <c r="B10" s="27"/>
      <c r="C10" s="27"/>
      <c r="D10" s="27"/>
      <c r="E10" s="27"/>
      <c r="F10" s="27" t="s">
        <v>184</v>
      </c>
      <c r="G10" s="27" t="s">
        <v>184</v>
      </c>
      <c r="H10" s="27" t="s">
        <v>185</v>
      </c>
      <c r="I10" s="28" t="s">
        <v>185</v>
      </c>
      <c r="J10" s="20" t="s">
        <v>310</v>
      </c>
      <c r="K10" s="2" t="s">
        <v>0</v>
      </c>
      <c r="L10" s="2">
        <f>MIN(L12:L107)</f>
        <v>0.10000000000000142</v>
      </c>
      <c r="M10" s="2">
        <v>26.6</v>
      </c>
      <c r="N10" s="2">
        <f>SUM(N12:N65)/$M11</f>
        <v>15.5</v>
      </c>
      <c r="O10" s="2">
        <f t="shared" ref="O10:Q10" si="3">SUM(O12:O65)/$M11</f>
        <v>0.1</v>
      </c>
      <c r="P10" s="2">
        <f t="shared" si="3"/>
        <v>0.1</v>
      </c>
      <c r="Q10" s="2">
        <f t="shared" si="3"/>
        <v>0.04</v>
      </c>
      <c r="S10" s="2">
        <f t="shared" si="2"/>
        <v>5</v>
      </c>
      <c r="T10" s="2">
        <f t="shared" si="1"/>
        <v>2.2120000000000002</v>
      </c>
      <c r="U10" s="2">
        <v>18.399999999999999</v>
      </c>
      <c r="V10" s="2">
        <v>0.1</v>
      </c>
      <c r="W10" s="2">
        <v>0.05</v>
      </c>
      <c r="X10" s="2">
        <v>0.09</v>
      </c>
      <c r="AA10" s="2">
        <f>CHOOSE(CalNseSrc_DataType,Cal_SF_ENR,'346'!R9,'346'!R9,'346'!R9,'346'!R9,'346'!R9,U10)</f>
        <v>12</v>
      </c>
      <c r="AB10" s="2">
        <f t="shared" si="0"/>
        <v>0.1</v>
      </c>
      <c r="AC10" s="2">
        <f>CHOOSE(CalNseSrc_DataType,CalSF_NSgamma,'346'!Q9,'346'!Q9,'346'!Q9,'346'!Q9,'346'!Q9,W10)</f>
        <v>0.22</v>
      </c>
      <c r="AD10" s="2">
        <f>CHOOSE(CalNseSrc_DataType,Cal_SF_GamCold,'346'!Q9,'346'!Q9,'346'!Q9,'346'!Q9,'346'!Q9,X10)</f>
        <v>0.12</v>
      </c>
    </row>
    <row r="11" spans="1:34">
      <c r="A11" s="75" t="s">
        <v>0</v>
      </c>
      <c r="B11" s="83" t="s">
        <v>313</v>
      </c>
      <c r="C11" s="27" t="s">
        <v>113</v>
      </c>
      <c r="D11" s="27"/>
      <c r="E11" s="27" t="s">
        <v>113</v>
      </c>
      <c r="F11" s="27" t="s">
        <v>186</v>
      </c>
      <c r="G11" s="27" t="s">
        <v>187</v>
      </c>
      <c r="H11" s="27" t="s">
        <v>186</v>
      </c>
      <c r="I11" s="28" t="s">
        <v>188</v>
      </c>
      <c r="J11" s="20"/>
      <c r="K11" s="2" t="s">
        <v>0</v>
      </c>
      <c r="L11" s="2" t="s">
        <v>318</v>
      </c>
      <c r="M11" s="2">
        <f>SUM(M12:M107)</f>
        <v>1</v>
      </c>
      <c r="S11" s="2">
        <f t="shared" si="2"/>
        <v>6</v>
      </c>
      <c r="T11" s="2">
        <f t="shared" si="1"/>
        <v>2.74</v>
      </c>
      <c r="U11" s="2">
        <v>18.3</v>
      </c>
      <c r="V11" s="2">
        <v>0.1</v>
      </c>
      <c r="W11" s="2">
        <v>0.04</v>
      </c>
      <c r="X11" s="2">
        <v>0.09</v>
      </c>
      <c r="AA11" s="2">
        <f>CHOOSE(CalNseSrc_DataType,Cal_SF_ENR,'346'!R10,'346'!R10,'346'!R10,'346'!R10,'346'!R10,U11)</f>
        <v>12</v>
      </c>
      <c r="AB11" s="2">
        <f t="shared" si="0"/>
        <v>0.1</v>
      </c>
      <c r="AC11" s="2">
        <f>CHOOSE(CalNseSrc_DataType,CalSF_NSgamma,'346'!Q10,'346'!Q10,'346'!Q10,'346'!Q10,'346'!Q10,W11)</f>
        <v>0.22</v>
      </c>
      <c r="AD11" s="2">
        <f>CHOOSE(CalNseSrc_DataType,Cal_SF_GamCold,'346'!Q10,'346'!Q10,'346'!Q10,'346'!Q10,'346'!Q10,X11)</f>
        <v>0.12</v>
      </c>
    </row>
    <row r="12" spans="1:34">
      <c r="A12" s="11">
        <v>10</v>
      </c>
      <c r="B12" s="11" t="s">
        <v>305</v>
      </c>
      <c r="C12" s="11">
        <v>18.5</v>
      </c>
      <c r="D12" s="29"/>
      <c r="E12" s="11">
        <v>0.1</v>
      </c>
      <c r="F12" s="11">
        <v>0.06</v>
      </c>
      <c r="G12" s="29">
        <v>30</v>
      </c>
      <c r="H12" s="11">
        <v>0.1</v>
      </c>
      <c r="I12" s="29">
        <v>60</v>
      </c>
      <c r="J12" s="20">
        <f>IF(UPPER(TRIM(B12))="MHZ",0.001,IF((UPPER(TRIM(B12)))="GHZ",1,IF(UPPER(TRIM(B12))="KHZ",0.000001,0.000000001)))</f>
        <v>1E-3</v>
      </c>
      <c r="K12" s="2">
        <f>IF(A12&gt;0,A12*J12,1000)</f>
        <v>0.01</v>
      </c>
      <c r="L12" s="2">
        <f>ABS(M$10-K12)</f>
        <v>26.59</v>
      </c>
      <c r="M12" s="2">
        <f>IF(L12=L$10,1,0)</f>
        <v>0</v>
      </c>
      <c r="N12" s="2">
        <f t="shared" ref="N12:N43" si="4">$M12*C12</f>
        <v>0</v>
      </c>
      <c r="O12" s="2">
        <f t="shared" ref="O12:O43" si="5">$M12*E12</f>
        <v>0</v>
      </c>
      <c r="P12" s="2">
        <f t="shared" ref="P12:P43" si="6">$M12*F12</f>
        <v>0</v>
      </c>
      <c r="Q12" s="2">
        <f>$M12*H12</f>
        <v>0</v>
      </c>
      <c r="S12" s="2">
        <f t="shared" si="2"/>
        <v>7</v>
      </c>
      <c r="T12" s="2">
        <f t="shared" si="1"/>
        <v>3.2680000000000002</v>
      </c>
      <c r="U12" s="2">
        <v>18.3</v>
      </c>
      <c r="V12" s="2">
        <v>0.1</v>
      </c>
      <c r="W12" s="2">
        <v>0.04</v>
      </c>
      <c r="X12" s="2">
        <v>0.09</v>
      </c>
      <c r="AA12" s="2">
        <f>CHOOSE(CalNseSrc_DataType,Cal_SF_ENR,'346'!R11,'346'!R11,'346'!R11,'346'!R11,'346'!R11,U12)</f>
        <v>12</v>
      </c>
      <c r="AB12" s="2">
        <f t="shared" si="0"/>
        <v>0.1</v>
      </c>
      <c r="AC12" s="2">
        <f>CHOOSE(CalNseSrc_DataType,CalSF_NSgamma,'346'!Q11,'346'!Q11,'346'!Q11,'346'!Q11,'346'!Q11,W12)</f>
        <v>0.22</v>
      </c>
      <c r="AD12" s="2">
        <f>CHOOSE(CalNseSrc_DataType,Cal_SF_GamCold,'346'!Q11,'346'!Q11,'346'!Q11,'346'!Q11,'346'!Q11,X12)</f>
        <v>0.12</v>
      </c>
    </row>
    <row r="13" spans="1:34">
      <c r="A13" s="11">
        <v>100</v>
      </c>
      <c r="B13" s="11" t="s">
        <v>305</v>
      </c>
      <c r="C13" s="11">
        <v>18.5</v>
      </c>
      <c r="D13" s="29"/>
      <c r="E13" s="11">
        <v>0.1</v>
      </c>
      <c r="F13" s="11">
        <v>0.06</v>
      </c>
      <c r="G13" s="29">
        <v>30</v>
      </c>
      <c r="H13" s="11">
        <v>0.1</v>
      </c>
      <c r="I13" s="29">
        <v>60</v>
      </c>
      <c r="J13" s="20">
        <f t="shared" ref="J13:J76" si="7">IF(UPPER(TRIM(B13))="MHZ",0.001,IF((UPPER(TRIM(B13)))="GHZ",1,IF(UPPER(TRIM(B13))="KHZ",0.000001,0.000000001)))</f>
        <v>1E-3</v>
      </c>
      <c r="K13" s="2">
        <f t="shared" ref="K13:K76" si="8">IF(A13&gt;0,A13*J13,1000)</f>
        <v>0.1</v>
      </c>
      <c r="L13" s="2">
        <f t="shared" ref="L13:L76" si="9">ABS(M$10-K13)</f>
        <v>26.5</v>
      </c>
      <c r="M13" s="2">
        <f t="shared" ref="M13:M76" si="10">IF(L13=L$10,1,0)</f>
        <v>0</v>
      </c>
      <c r="N13" s="2">
        <f t="shared" si="4"/>
        <v>0</v>
      </c>
      <c r="O13" s="2">
        <f t="shared" si="5"/>
        <v>0</v>
      </c>
      <c r="P13" s="2">
        <f t="shared" si="6"/>
        <v>0</v>
      </c>
      <c r="Q13" s="2">
        <f t="shared" ref="Q13:Q65" si="11">$M13*H13</f>
        <v>0</v>
      </c>
      <c r="S13" s="2">
        <f t="shared" si="2"/>
        <v>8</v>
      </c>
      <c r="T13" s="2">
        <f t="shared" si="1"/>
        <v>3.7960000000000003</v>
      </c>
      <c r="U13" s="2">
        <v>18.192</v>
      </c>
      <c r="V13" s="2">
        <v>0.1</v>
      </c>
      <c r="W13" s="2">
        <v>4.36E-2</v>
      </c>
      <c r="X13" s="2">
        <v>9.9699999999999997E-2</v>
      </c>
      <c r="AA13" s="2">
        <f>CHOOSE(CalNseSrc_DataType,Cal_SF_ENR,'346'!R12,'346'!R12,'346'!R12,'346'!R12,'346'!R12,U13)</f>
        <v>12</v>
      </c>
      <c r="AB13" s="2">
        <f t="shared" si="0"/>
        <v>0.1</v>
      </c>
      <c r="AC13" s="2">
        <f>CHOOSE(CalNseSrc_DataType,CalSF_NSgamma,'346'!Q12,'346'!Q12,'346'!Q12,'346'!Q12,'346'!Q12,W13)</f>
        <v>0.22</v>
      </c>
      <c r="AD13" s="2">
        <f>CHOOSE(CalNseSrc_DataType,Cal_SF_GamCold,'346'!Q12,'346'!Q12,'346'!Q12,'346'!Q12,'346'!Q12,X13)</f>
        <v>0.12</v>
      </c>
    </row>
    <row r="14" spans="1:34">
      <c r="A14" s="11">
        <v>1000</v>
      </c>
      <c r="B14" s="11" t="s">
        <v>305</v>
      </c>
      <c r="C14" s="11">
        <v>18.5</v>
      </c>
      <c r="D14" s="29"/>
      <c r="E14" s="11">
        <v>0.1</v>
      </c>
      <c r="F14" s="11">
        <v>0.06</v>
      </c>
      <c r="G14" s="29">
        <v>30</v>
      </c>
      <c r="H14" s="11">
        <v>0.1</v>
      </c>
      <c r="I14" s="29">
        <v>60</v>
      </c>
      <c r="J14" s="20">
        <f t="shared" si="7"/>
        <v>1E-3</v>
      </c>
      <c r="K14" s="2">
        <f t="shared" si="8"/>
        <v>1</v>
      </c>
      <c r="L14" s="2">
        <f t="shared" si="9"/>
        <v>25.6</v>
      </c>
      <c r="M14" s="2">
        <f t="shared" si="10"/>
        <v>0</v>
      </c>
      <c r="N14" s="2">
        <f t="shared" si="4"/>
        <v>0</v>
      </c>
      <c r="O14" s="2">
        <f t="shared" si="5"/>
        <v>0</v>
      </c>
      <c r="P14" s="2">
        <f t="shared" si="6"/>
        <v>0</v>
      </c>
      <c r="Q14" s="2">
        <f t="shared" si="11"/>
        <v>0</v>
      </c>
      <c r="S14" s="2">
        <f t="shared" si="2"/>
        <v>9</v>
      </c>
      <c r="T14" s="2">
        <f t="shared" si="1"/>
        <v>4.3239999999999998</v>
      </c>
      <c r="U14" s="2">
        <v>18.192</v>
      </c>
      <c r="V14" s="2">
        <v>0.1</v>
      </c>
      <c r="W14" s="2">
        <v>4.36E-2</v>
      </c>
      <c r="X14" s="2">
        <v>9.9699999999999997E-2</v>
      </c>
      <c r="AA14" s="2">
        <f>CHOOSE(CalNseSrc_DataType,Cal_SF_ENR,'346'!R13,'346'!R13,'346'!R13,'346'!R13,'346'!R13,U14)</f>
        <v>12</v>
      </c>
      <c r="AB14" s="2">
        <f t="shared" si="0"/>
        <v>0.1</v>
      </c>
      <c r="AC14" s="2">
        <f>CHOOSE(CalNseSrc_DataType,CalSF_NSgamma,'346'!Q13,'346'!Q13,'346'!Q13,'346'!Q13,'346'!Q13,W14)</f>
        <v>0.22</v>
      </c>
      <c r="AD14" s="2">
        <f>CHOOSE(CalNseSrc_DataType,Cal_SF_GamCold,'346'!Q13,'346'!Q13,'346'!Q13,'346'!Q13,'346'!Q13,X14)</f>
        <v>0.12</v>
      </c>
    </row>
    <row r="15" spans="1:34">
      <c r="A15" s="11">
        <v>2000</v>
      </c>
      <c r="B15" s="11" t="s">
        <v>305</v>
      </c>
      <c r="C15" s="11">
        <v>18.399999999999999</v>
      </c>
      <c r="D15" s="29"/>
      <c r="E15" s="11">
        <v>0.1</v>
      </c>
      <c r="F15" s="11">
        <v>0.05</v>
      </c>
      <c r="G15" s="29">
        <v>30</v>
      </c>
      <c r="H15" s="11">
        <v>0.09</v>
      </c>
      <c r="I15" s="29">
        <v>60</v>
      </c>
      <c r="J15" s="20">
        <f t="shared" si="7"/>
        <v>1E-3</v>
      </c>
      <c r="K15" s="2">
        <f t="shared" si="8"/>
        <v>2</v>
      </c>
      <c r="L15" s="2">
        <f t="shared" si="9"/>
        <v>24.6</v>
      </c>
      <c r="M15" s="2">
        <f t="shared" si="10"/>
        <v>0</v>
      </c>
      <c r="N15" s="2">
        <f t="shared" si="4"/>
        <v>0</v>
      </c>
      <c r="O15" s="2">
        <f t="shared" si="5"/>
        <v>0</v>
      </c>
      <c r="P15" s="2">
        <f t="shared" si="6"/>
        <v>0</v>
      </c>
      <c r="Q15" s="2">
        <f t="shared" si="11"/>
        <v>0</v>
      </c>
      <c r="S15" s="2">
        <f t="shared" si="2"/>
        <v>10</v>
      </c>
      <c r="T15" s="2">
        <f t="shared" si="1"/>
        <v>4.8520000000000003</v>
      </c>
      <c r="U15" s="2">
        <v>18</v>
      </c>
      <c r="V15" s="2">
        <v>0.1</v>
      </c>
      <c r="W15" s="2">
        <v>0.04</v>
      </c>
      <c r="X15" s="2">
        <v>0.08</v>
      </c>
      <c r="AA15" s="2">
        <f>CHOOSE(CalNseSrc_DataType,Cal_SF_ENR,'346'!R14,'346'!R14,'346'!R14,'346'!R14,'346'!R14,U15)</f>
        <v>12</v>
      </c>
      <c r="AB15" s="2">
        <f t="shared" si="0"/>
        <v>0.1</v>
      </c>
      <c r="AC15" s="2">
        <f>CHOOSE(CalNseSrc_DataType,CalSF_NSgamma,'346'!Q14,'346'!Q14,'346'!Q14,'346'!Q14,'346'!Q14,W15)</f>
        <v>0.22</v>
      </c>
      <c r="AD15" s="2">
        <f>CHOOSE(CalNseSrc_DataType,Cal_SF_GamCold,'346'!Q14,'346'!Q14,'346'!Q14,'346'!Q14,'346'!Q14,X15)</f>
        <v>0.12</v>
      </c>
    </row>
    <row r="16" spans="1:34">
      <c r="A16" s="11">
        <v>3000</v>
      </c>
      <c r="B16" s="11" t="s">
        <v>305</v>
      </c>
      <c r="C16" s="11">
        <v>18.3</v>
      </c>
      <c r="D16" s="29"/>
      <c r="E16" s="11">
        <v>0.1</v>
      </c>
      <c r="F16" s="11">
        <v>0.04</v>
      </c>
      <c r="G16" s="29">
        <v>30</v>
      </c>
      <c r="H16" s="11">
        <v>0.09</v>
      </c>
      <c r="I16" s="29">
        <v>60</v>
      </c>
      <c r="J16" s="20">
        <f t="shared" si="7"/>
        <v>1E-3</v>
      </c>
      <c r="K16" s="2">
        <f t="shared" si="8"/>
        <v>3</v>
      </c>
      <c r="L16" s="2">
        <f t="shared" si="9"/>
        <v>23.6</v>
      </c>
      <c r="M16" s="2">
        <f t="shared" si="10"/>
        <v>0</v>
      </c>
      <c r="N16" s="2">
        <f t="shared" si="4"/>
        <v>0</v>
      </c>
      <c r="O16" s="2">
        <f t="shared" si="5"/>
        <v>0</v>
      </c>
      <c r="P16" s="2">
        <f t="shared" si="6"/>
        <v>0</v>
      </c>
      <c r="Q16" s="2">
        <f t="shared" si="11"/>
        <v>0</v>
      </c>
      <c r="S16" s="2">
        <f t="shared" si="2"/>
        <v>11</v>
      </c>
      <c r="T16" s="2">
        <f t="shared" si="1"/>
        <v>5.3800000000000008</v>
      </c>
      <c r="U16" s="2">
        <v>18</v>
      </c>
      <c r="V16" s="2">
        <v>0.1</v>
      </c>
      <c r="W16" s="2">
        <v>0.04</v>
      </c>
      <c r="X16" s="2">
        <v>0.08</v>
      </c>
      <c r="AA16" s="2">
        <f>CHOOSE(CalNseSrc_DataType,Cal_SF_ENR,'346'!R15,'346'!R15,'346'!R15,'346'!R15,'346'!R15,U16)</f>
        <v>12</v>
      </c>
      <c r="AB16" s="2">
        <f t="shared" si="0"/>
        <v>0.1</v>
      </c>
      <c r="AC16" s="2">
        <f>CHOOSE(CalNseSrc_DataType,CalSF_NSgamma,'346'!Q15,'346'!Q15,'346'!Q15,'346'!Q15,'346'!Q15,W16)</f>
        <v>0.22</v>
      </c>
      <c r="AD16" s="2">
        <f>CHOOSE(CalNseSrc_DataType,Cal_SF_GamCold,'346'!Q15,'346'!Q15,'346'!Q15,'346'!Q15,'346'!Q15,X16)</f>
        <v>0.12</v>
      </c>
    </row>
    <row r="17" spans="1:31">
      <c r="A17" s="11">
        <v>4000</v>
      </c>
      <c r="B17" s="11" t="s">
        <v>305</v>
      </c>
      <c r="C17" s="11">
        <v>18.192</v>
      </c>
      <c r="D17" s="29"/>
      <c r="E17" s="11">
        <v>0.1</v>
      </c>
      <c r="F17" s="11">
        <v>4.36E-2</v>
      </c>
      <c r="G17" s="29">
        <v>30</v>
      </c>
      <c r="H17" s="11">
        <v>9.9699999999999997E-2</v>
      </c>
      <c r="I17" s="29">
        <v>60</v>
      </c>
      <c r="J17" s="20">
        <f t="shared" si="7"/>
        <v>1E-3</v>
      </c>
      <c r="K17" s="2">
        <f t="shared" si="8"/>
        <v>4</v>
      </c>
      <c r="L17" s="2">
        <f t="shared" si="9"/>
        <v>22.6</v>
      </c>
      <c r="M17" s="2">
        <f t="shared" si="10"/>
        <v>0</v>
      </c>
      <c r="N17" s="2">
        <f t="shared" si="4"/>
        <v>0</v>
      </c>
      <c r="O17" s="2">
        <f t="shared" si="5"/>
        <v>0</v>
      </c>
      <c r="P17" s="2">
        <f t="shared" si="6"/>
        <v>0</v>
      </c>
      <c r="Q17" s="2">
        <f t="shared" si="11"/>
        <v>0</v>
      </c>
      <c r="S17" s="2">
        <f t="shared" si="2"/>
        <v>12</v>
      </c>
      <c r="T17" s="2">
        <f t="shared" si="1"/>
        <v>5.9080000000000013</v>
      </c>
      <c r="U17" s="2">
        <v>17.8</v>
      </c>
      <c r="V17" s="2">
        <v>0.1</v>
      </c>
      <c r="W17" s="2">
        <v>0.05</v>
      </c>
      <c r="X17" s="2">
        <v>0.08</v>
      </c>
      <c r="AA17" s="2">
        <f>CHOOSE(CalNseSrc_DataType,Cal_SF_ENR,'346'!R16,'346'!R16,'346'!R16,'346'!R16,'346'!R16,U17)</f>
        <v>12</v>
      </c>
      <c r="AB17" s="2">
        <f t="shared" si="0"/>
        <v>0.1</v>
      </c>
      <c r="AC17" s="2">
        <f>CHOOSE(CalNseSrc_DataType,CalSF_NSgamma,'346'!Q16,'346'!Q16,'346'!Q16,'346'!Q16,'346'!Q16,W17)</f>
        <v>0.22</v>
      </c>
      <c r="AD17" s="2">
        <f>CHOOSE(CalNseSrc_DataType,Cal_SF_GamCold,'346'!Q16,'346'!Q16,'346'!Q16,'346'!Q16,'346'!Q16,X17)</f>
        <v>0.12</v>
      </c>
      <c r="AE17" s="2" t="s">
        <v>0</v>
      </c>
    </row>
    <row r="18" spans="1:31">
      <c r="A18" s="11">
        <v>5000</v>
      </c>
      <c r="B18" s="11" t="s">
        <v>305</v>
      </c>
      <c r="C18" s="11">
        <v>18</v>
      </c>
      <c r="D18" s="29"/>
      <c r="E18" s="11">
        <v>0.1</v>
      </c>
      <c r="F18" s="11">
        <v>0.04</v>
      </c>
      <c r="G18" s="29">
        <v>30</v>
      </c>
      <c r="H18" s="11">
        <v>0.08</v>
      </c>
      <c r="I18" s="29">
        <v>60</v>
      </c>
      <c r="J18" s="20">
        <f t="shared" si="7"/>
        <v>1E-3</v>
      </c>
      <c r="K18" s="2">
        <f t="shared" si="8"/>
        <v>5</v>
      </c>
      <c r="L18" s="2">
        <f t="shared" si="9"/>
        <v>21.6</v>
      </c>
      <c r="M18" s="2">
        <f t="shared" si="10"/>
        <v>0</v>
      </c>
      <c r="N18" s="2">
        <f t="shared" si="4"/>
        <v>0</v>
      </c>
      <c r="O18" s="2">
        <f t="shared" si="5"/>
        <v>0</v>
      </c>
      <c r="P18" s="2">
        <f t="shared" si="6"/>
        <v>0</v>
      </c>
      <c r="Q18" s="2">
        <f t="shared" si="11"/>
        <v>0</v>
      </c>
      <c r="S18" s="2">
        <f t="shared" si="2"/>
        <v>13</v>
      </c>
      <c r="T18" s="2">
        <f t="shared" si="1"/>
        <v>6.4360000000000017</v>
      </c>
      <c r="U18" s="2">
        <v>17.8</v>
      </c>
      <c r="V18" s="2">
        <v>0.1</v>
      </c>
      <c r="W18" s="2">
        <v>0.05</v>
      </c>
      <c r="X18" s="2">
        <v>0.08</v>
      </c>
      <c r="AA18" s="2">
        <f>CHOOSE(CalNseSrc_DataType,Cal_SF_ENR,'346'!R17,'346'!R17,'346'!R17,'346'!R17,'346'!R17,U18)</f>
        <v>12</v>
      </c>
      <c r="AB18" s="2">
        <f t="shared" si="0"/>
        <v>0.1</v>
      </c>
      <c r="AC18" s="2">
        <f>CHOOSE(CalNseSrc_DataType,CalSF_NSgamma,'346'!Q17,'346'!Q17,'346'!Q17,'346'!Q17,'346'!Q17,W18)</f>
        <v>0.22</v>
      </c>
      <c r="AD18" s="2">
        <f>CHOOSE(CalNseSrc_DataType,Cal_SF_GamCold,'346'!Q17,'346'!Q17,'346'!Q17,'346'!Q17,'346'!Q17,X18)</f>
        <v>0.12</v>
      </c>
    </row>
    <row r="19" spans="1:31">
      <c r="A19" s="11">
        <v>6000</v>
      </c>
      <c r="B19" s="11" t="s">
        <v>305</v>
      </c>
      <c r="C19" s="11">
        <v>17.8</v>
      </c>
      <c r="D19" s="29"/>
      <c r="E19" s="11">
        <v>0.1</v>
      </c>
      <c r="F19" s="11">
        <v>0.05</v>
      </c>
      <c r="G19" s="29">
        <v>30</v>
      </c>
      <c r="H19" s="11">
        <v>0.08</v>
      </c>
      <c r="I19" s="29">
        <v>60</v>
      </c>
      <c r="J19" s="20">
        <f t="shared" si="7"/>
        <v>1E-3</v>
      </c>
      <c r="K19" s="2">
        <f t="shared" si="8"/>
        <v>6</v>
      </c>
      <c r="L19" s="2">
        <f t="shared" si="9"/>
        <v>20.6</v>
      </c>
      <c r="M19" s="2">
        <f t="shared" si="10"/>
        <v>0</v>
      </c>
      <c r="N19" s="2">
        <f t="shared" si="4"/>
        <v>0</v>
      </c>
      <c r="O19" s="2">
        <f t="shared" si="5"/>
        <v>0</v>
      </c>
      <c r="P19" s="2">
        <f t="shared" si="6"/>
        <v>0</v>
      </c>
      <c r="Q19" s="2">
        <f t="shared" si="11"/>
        <v>0</v>
      </c>
      <c r="S19" s="2">
        <f t="shared" si="2"/>
        <v>14</v>
      </c>
      <c r="T19" s="2">
        <f t="shared" si="1"/>
        <v>6.9640000000000022</v>
      </c>
      <c r="U19" s="2">
        <v>17.600000000000001</v>
      </c>
      <c r="V19" s="2">
        <v>0.1</v>
      </c>
      <c r="W19" s="2">
        <v>0.05</v>
      </c>
      <c r="X19" s="2">
        <v>0.08</v>
      </c>
      <c r="AA19" s="2">
        <f>CHOOSE(CalNseSrc_DataType,Cal_SF_ENR,'346'!R18,'346'!R18,'346'!R18,'346'!R18,'346'!R18,U19)</f>
        <v>12</v>
      </c>
      <c r="AB19" s="2">
        <f t="shared" si="0"/>
        <v>0.1</v>
      </c>
      <c r="AC19" s="2">
        <f>CHOOSE(CalNseSrc_DataType,CalSF_NSgamma,'346'!Q18,'346'!Q18,'346'!Q18,'346'!Q18,'346'!Q18,W19)</f>
        <v>0.22</v>
      </c>
      <c r="AD19" s="2">
        <f>CHOOSE(CalNseSrc_DataType,Cal_SF_GamCold,'346'!Q18,'346'!Q18,'346'!Q18,'346'!Q18,'346'!Q18,X19)</f>
        <v>0.12</v>
      </c>
    </row>
    <row r="20" spans="1:31">
      <c r="A20" s="11">
        <v>7000</v>
      </c>
      <c r="B20" s="11" t="s">
        <v>305</v>
      </c>
      <c r="C20" s="11">
        <v>17.600000000000001</v>
      </c>
      <c r="D20" s="29"/>
      <c r="E20" s="11">
        <v>0.1</v>
      </c>
      <c r="F20" s="11">
        <v>0.05</v>
      </c>
      <c r="G20" s="29">
        <v>30</v>
      </c>
      <c r="H20" s="11">
        <v>0.08</v>
      </c>
      <c r="I20" s="29">
        <v>60</v>
      </c>
      <c r="J20" s="20">
        <f t="shared" si="7"/>
        <v>1E-3</v>
      </c>
      <c r="K20" s="2">
        <f t="shared" si="8"/>
        <v>7</v>
      </c>
      <c r="L20" s="2">
        <f t="shared" si="9"/>
        <v>19.600000000000001</v>
      </c>
      <c r="M20" s="2">
        <f t="shared" si="10"/>
        <v>0</v>
      </c>
      <c r="N20" s="2">
        <f t="shared" si="4"/>
        <v>0</v>
      </c>
      <c r="O20" s="2">
        <f t="shared" si="5"/>
        <v>0</v>
      </c>
      <c r="P20" s="2">
        <f t="shared" si="6"/>
        <v>0</v>
      </c>
      <c r="Q20" s="2">
        <f t="shared" si="11"/>
        <v>0</v>
      </c>
      <c r="S20" s="2">
        <f t="shared" si="2"/>
        <v>15</v>
      </c>
      <c r="T20" s="2">
        <f t="shared" si="1"/>
        <v>7.4920000000000027</v>
      </c>
      <c r="U20" s="2">
        <v>17.600000000000001</v>
      </c>
      <c r="V20" s="2">
        <v>0.1</v>
      </c>
      <c r="W20" s="2">
        <v>0.05</v>
      </c>
      <c r="X20" s="2">
        <v>0.08</v>
      </c>
      <c r="AA20" s="2">
        <f>CHOOSE(CalNseSrc_DataType,Cal_SF_ENR,'346'!R19,'346'!R19,'346'!R19,'346'!R19,'346'!R19,U20)</f>
        <v>12</v>
      </c>
      <c r="AB20" s="2">
        <f t="shared" si="0"/>
        <v>0.1</v>
      </c>
      <c r="AC20" s="2">
        <f>CHOOSE(CalNseSrc_DataType,CalSF_NSgamma,'346'!Q19,'346'!Q19,'346'!Q19,'346'!Q19,'346'!Q19,W20)</f>
        <v>0.22</v>
      </c>
      <c r="AD20" s="2">
        <f>CHOOSE(CalNseSrc_DataType,Cal_SF_GamCold,'346'!Q19,'346'!Q19,'346'!Q19,'346'!Q19,'346'!Q19,X20)</f>
        <v>0.12</v>
      </c>
    </row>
    <row r="21" spans="1:31">
      <c r="A21" s="11">
        <v>8000</v>
      </c>
      <c r="B21" s="11" t="s">
        <v>305</v>
      </c>
      <c r="C21" s="11">
        <v>17.5</v>
      </c>
      <c r="D21" s="29"/>
      <c r="E21" s="11">
        <v>0.1</v>
      </c>
      <c r="F21" s="11">
        <v>0.05</v>
      </c>
      <c r="G21" s="29">
        <v>30</v>
      </c>
      <c r="H21" s="11">
        <v>7.0000000000000007E-2</v>
      </c>
      <c r="I21" s="29">
        <v>60</v>
      </c>
      <c r="J21" s="20">
        <f t="shared" si="7"/>
        <v>1E-3</v>
      </c>
      <c r="K21" s="2">
        <f t="shared" si="8"/>
        <v>8</v>
      </c>
      <c r="L21" s="2">
        <f t="shared" si="9"/>
        <v>18.600000000000001</v>
      </c>
      <c r="M21" s="2">
        <f t="shared" si="10"/>
        <v>0</v>
      </c>
      <c r="N21" s="2">
        <f t="shared" si="4"/>
        <v>0</v>
      </c>
      <c r="O21" s="2">
        <f t="shared" si="5"/>
        <v>0</v>
      </c>
      <c r="P21" s="2">
        <f t="shared" si="6"/>
        <v>0</v>
      </c>
      <c r="Q21" s="2">
        <f t="shared" si="11"/>
        <v>0</v>
      </c>
      <c r="S21" s="2">
        <f t="shared" si="2"/>
        <v>16</v>
      </c>
      <c r="T21" s="2">
        <f t="shared" si="1"/>
        <v>8.0200000000000031</v>
      </c>
      <c r="U21" s="2">
        <v>17.5</v>
      </c>
      <c r="V21" s="2">
        <v>0.1</v>
      </c>
      <c r="W21" s="2">
        <v>0.05</v>
      </c>
      <c r="X21" s="2">
        <v>7.0000000000000007E-2</v>
      </c>
      <c r="AA21" s="2">
        <f>CHOOSE(CalNseSrc_DataType,Cal_SF_ENR,'346'!R20,'346'!R20,'346'!R20,'346'!R20,'346'!R20,U21)</f>
        <v>12</v>
      </c>
      <c r="AB21" s="2">
        <f t="shared" si="0"/>
        <v>0.1</v>
      </c>
      <c r="AC21" s="2">
        <f>CHOOSE(CalNseSrc_DataType,CalSF_NSgamma,'346'!Q20,'346'!Q20,'346'!Q20,'346'!Q20,'346'!Q20,W21)</f>
        <v>0.22</v>
      </c>
      <c r="AD21" s="2">
        <f>CHOOSE(CalNseSrc_DataType,Cal_SF_GamCold,'346'!Q20,'346'!Q20,'346'!Q20,'346'!Q20,'346'!Q20,X21)</f>
        <v>0.12</v>
      </c>
    </row>
    <row r="22" spans="1:31">
      <c r="A22" s="11">
        <v>9000</v>
      </c>
      <c r="B22" s="11" t="s">
        <v>305</v>
      </c>
      <c r="C22" s="11">
        <v>17.399999999999999</v>
      </c>
      <c r="D22" s="29"/>
      <c r="E22" s="11">
        <v>0.1</v>
      </c>
      <c r="F22" s="11">
        <v>0.06</v>
      </c>
      <c r="G22" s="29">
        <v>30</v>
      </c>
      <c r="H22" s="11">
        <v>7.0000000000000007E-2</v>
      </c>
      <c r="I22" s="29">
        <v>60</v>
      </c>
      <c r="J22" s="20">
        <f t="shared" si="7"/>
        <v>1E-3</v>
      </c>
      <c r="K22" s="2">
        <f t="shared" si="8"/>
        <v>9</v>
      </c>
      <c r="L22" s="2">
        <f t="shared" si="9"/>
        <v>17.600000000000001</v>
      </c>
      <c r="M22" s="2">
        <f t="shared" si="10"/>
        <v>0</v>
      </c>
      <c r="N22" s="2">
        <f t="shared" si="4"/>
        <v>0</v>
      </c>
      <c r="O22" s="2">
        <f t="shared" si="5"/>
        <v>0</v>
      </c>
      <c r="P22" s="2">
        <f t="shared" si="6"/>
        <v>0</v>
      </c>
      <c r="Q22" s="2">
        <f t="shared" si="11"/>
        <v>0</v>
      </c>
      <c r="S22" s="2">
        <f t="shared" si="2"/>
        <v>17</v>
      </c>
      <c r="T22" s="2">
        <f t="shared" si="1"/>
        <v>8.5480000000000036</v>
      </c>
      <c r="U22" s="2">
        <v>17.399999999999999</v>
      </c>
      <c r="V22" s="2">
        <v>0.1</v>
      </c>
      <c r="W22" s="2">
        <v>0.06</v>
      </c>
      <c r="X22" s="2">
        <v>7.0000000000000007E-2</v>
      </c>
      <c r="AA22" s="2">
        <f>CHOOSE(CalNseSrc_DataType,Cal_SF_ENR,'346'!R21,'346'!R21,'346'!R21,'346'!R21,'346'!R21,U22)</f>
        <v>12</v>
      </c>
      <c r="AB22" s="2">
        <f t="shared" si="0"/>
        <v>0.1</v>
      </c>
      <c r="AC22" s="2">
        <f>CHOOSE(CalNseSrc_DataType,CalSF_NSgamma,'346'!Q21,'346'!Q21,'346'!Q21,'346'!Q21,'346'!Q21,W22)</f>
        <v>0.22</v>
      </c>
      <c r="AD22" s="2">
        <f>CHOOSE(CalNseSrc_DataType,Cal_SF_GamCold,'346'!Q21,'346'!Q21,'346'!Q21,'346'!Q21,'346'!Q21,X22)</f>
        <v>0.12</v>
      </c>
    </row>
    <row r="23" spans="1:31">
      <c r="A23" s="11">
        <v>10000</v>
      </c>
      <c r="B23" s="11" t="s">
        <v>305</v>
      </c>
      <c r="C23" s="11">
        <v>17.2</v>
      </c>
      <c r="D23" s="29"/>
      <c r="E23" s="11">
        <v>0.1</v>
      </c>
      <c r="F23" s="11">
        <v>0.06</v>
      </c>
      <c r="G23" s="29">
        <v>30</v>
      </c>
      <c r="H23" s="11">
        <v>7.0000000000000007E-2</v>
      </c>
      <c r="I23" s="29">
        <v>60</v>
      </c>
      <c r="J23" s="20">
        <f t="shared" si="7"/>
        <v>1E-3</v>
      </c>
      <c r="K23" s="2">
        <f t="shared" si="8"/>
        <v>10</v>
      </c>
      <c r="L23" s="2">
        <f t="shared" si="9"/>
        <v>16.600000000000001</v>
      </c>
      <c r="M23" s="2">
        <f t="shared" si="10"/>
        <v>0</v>
      </c>
      <c r="N23" s="2">
        <f t="shared" si="4"/>
        <v>0</v>
      </c>
      <c r="O23" s="2">
        <f t="shared" si="5"/>
        <v>0</v>
      </c>
      <c r="P23" s="2">
        <f t="shared" si="6"/>
        <v>0</v>
      </c>
      <c r="Q23" s="2">
        <f t="shared" si="11"/>
        <v>0</v>
      </c>
      <c r="S23" s="2">
        <f t="shared" si="2"/>
        <v>18</v>
      </c>
      <c r="T23" s="2">
        <f t="shared" si="1"/>
        <v>9.0760000000000041</v>
      </c>
      <c r="U23" s="2">
        <v>17.399999999999999</v>
      </c>
      <c r="V23" s="2">
        <v>0.1</v>
      </c>
      <c r="W23" s="2">
        <v>0.06</v>
      </c>
      <c r="X23" s="2">
        <v>7.0000000000000007E-2</v>
      </c>
      <c r="AA23" s="2">
        <f>CHOOSE(CalNseSrc_DataType,Cal_SF_ENR,'346'!R22,'346'!R22,'346'!R22,'346'!R22,'346'!R22,U23)</f>
        <v>12</v>
      </c>
      <c r="AB23" s="2">
        <f t="shared" si="0"/>
        <v>0.1</v>
      </c>
      <c r="AC23" s="2">
        <f>CHOOSE(CalNseSrc_DataType,CalSF_NSgamma,'346'!Q22,'346'!Q22,'346'!Q22,'346'!Q22,'346'!Q22,W23)</f>
        <v>0.22</v>
      </c>
      <c r="AD23" s="2">
        <f>CHOOSE(CalNseSrc_DataType,Cal_SF_GamCold,'346'!Q22,'346'!Q22,'346'!Q22,'346'!Q22,'346'!Q22,X23)</f>
        <v>0.12</v>
      </c>
    </row>
    <row r="24" spans="1:31">
      <c r="A24" s="11">
        <v>11000</v>
      </c>
      <c r="B24" s="11" t="s">
        <v>305</v>
      </c>
      <c r="C24" s="11">
        <v>17.100000000000001</v>
      </c>
      <c r="D24" s="29"/>
      <c r="E24" s="11">
        <v>0.1</v>
      </c>
      <c r="F24" s="11">
        <v>0.06</v>
      </c>
      <c r="G24" s="29">
        <v>30</v>
      </c>
      <c r="H24" s="11">
        <v>0.06</v>
      </c>
      <c r="I24" s="29">
        <v>60</v>
      </c>
      <c r="J24" s="20">
        <f t="shared" si="7"/>
        <v>1E-3</v>
      </c>
      <c r="K24" s="2">
        <f t="shared" si="8"/>
        <v>11</v>
      </c>
      <c r="L24" s="2">
        <f t="shared" si="9"/>
        <v>15.600000000000001</v>
      </c>
      <c r="M24" s="2">
        <f t="shared" si="10"/>
        <v>0</v>
      </c>
      <c r="N24" s="2">
        <f t="shared" si="4"/>
        <v>0</v>
      </c>
      <c r="O24" s="2">
        <f t="shared" si="5"/>
        <v>0</v>
      </c>
      <c r="P24" s="2">
        <f t="shared" si="6"/>
        <v>0</v>
      </c>
      <c r="Q24" s="2">
        <f t="shared" si="11"/>
        <v>0</v>
      </c>
      <c r="S24" s="2">
        <f t="shared" si="2"/>
        <v>19</v>
      </c>
      <c r="T24" s="2">
        <f t="shared" si="1"/>
        <v>9.6040000000000045</v>
      </c>
      <c r="U24" s="2">
        <v>17.2</v>
      </c>
      <c r="V24" s="2">
        <v>0.1</v>
      </c>
      <c r="W24" s="2">
        <v>0.06</v>
      </c>
      <c r="X24" s="2">
        <v>7.0000000000000007E-2</v>
      </c>
      <c r="AA24" s="2">
        <f>CHOOSE(CalNseSrc_DataType,Cal_SF_ENR,'346'!R23,'346'!R23,'346'!R23,'346'!R23,'346'!R23,U24)</f>
        <v>12</v>
      </c>
      <c r="AB24" s="2">
        <f t="shared" si="0"/>
        <v>0.1</v>
      </c>
      <c r="AC24" s="2">
        <f>CHOOSE(CalNseSrc_DataType,CalSF_NSgamma,'346'!Q23,'346'!Q23,'346'!Q23,'346'!Q23,'346'!Q23,W24)</f>
        <v>0.22</v>
      </c>
      <c r="AD24" s="2">
        <f>CHOOSE(CalNseSrc_DataType,Cal_SF_GamCold,'346'!Q23,'346'!Q23,'346'!Q23,'346'!Q23,'346'!Q23,X24)</f>
        <v>0.12</v>
      </c>
    </row>
    <row r="25" spans="1:31">
      <c r="A25" s="11">
        <v>12000</v>
      </c>
      <c r="B25" s="11" t="s">
        <v>305</v>
      </c>
      <c r="C25" s="11">
        <v>17</v>
      </c>
      <c r="D25" s="29"/>
      <c r="E25" s="11">
        <v>0.1</v>
      </c>
      <c r="F25" s="11">
        <v>7.0000000000000007E-2</v>
      </c>
      <c r="G25" s="29">
        <v>30</v>
      </c>
      <c r="H25" s="11">
        <v>0.06</v>
      </c>
      <c r="I25" s="29">
        <v>60</v>
      </c>
      <c r="J25" s="20">
        <f t="shared" si="7"/>
        <v>1E-3</v>
      </c>
      <c r="K25" s="2">
        <f t="shared" si="8"/>
        <v>12</v>
      </c>
      <c r="L25" s="2">
        <f t="shared" si="9"/>
        <v>14.600000000000001</v>
      </c>
      <c r="M25" s="2">
        <f t="shared" si="10"/>
        <v>0</v>
      </c>
      <c r="N25" s="2">
        <f t="shared" si="4"/>
        <v>0</v>
      </c>
      <c r="O25" s="2">
        <f t="shared" si="5"/>
        <v>0</v>
      </c>
      <c r="P25" s="2">
        <f t="shared" si="6"/>
        <v>0</v>
      </c>
      <c r="Q25" s="2">
        <f t="shared" si="11"/>
        <v>0</v>
      </c>
      <c r="S25" s="2">
        <f t="shared" si="2"/>
        <v>20</v>
      </c>
      <c r="T25" s="2">
        <f t="shared" si="1"/>
        <v>10.132000000000005</v>
      </c>
      <c r="U25" s="2">
        <v>17.2</v>
      </c>
      <c r="V25" s="2">
        <v>0.1</v>
      </c>
      <c r="W25" s="2">
        <v>0.06</v>
      </c>
      <c r="X25" s="2">
        <v>7.0000000000000007E-2</v>
      </c>
      <c r="AA25" s="2">
        <f>CHOOSE(CalNseSrc_DataType,Cal_SF_ENR,'346'!R24,'346'!R24,'346'!R24,'346'!R24,'346'!R24,U25)</f>
        <v>12</v>
      </c>
      <c r="AB25" s="2">
        <f t="shared" si="0"/>
        <v>0.1</v>
      </c>
      <c r="AC25" s="2">
        <f>CHOOSE(CalNseSrc_DataType,CalSF_NSgamma,'346'!Q24,'346'!Q24,'346'!Q24,'346'!Q24,'346'!Q24,W25)</f>
        <v>0.22</v>
      </c>
      <c r="AD25" s="2">
        <f>CHOOSE(CalNseSrc_DataType,Cal_SF_GamCold,'346'!Q24,'346'!Q24,'346'!Q24,'346'!Q24,'346'!Q24,X25)</f>
        <v>0.12</v>
      </c>
    </row>
    <row r="26" spans="1:31">
      <c r="A26" s="11">
        <v>13000</v>
      </c>
      <c r="B26" s="11" t="s">
        <v>305</v>
      </c>
      <c r="C26" s="11">
        <v>16.8</v>
      </c>
      <c r="D26" s="29"/>
      <c r="E26" s="11">
        <v>0.1</v>
      </c>
      <c r="F26" s="11">
        <v>7.0000000000000007E-2</v>
      </c>
      <c r="G26" s="29">
        <v>30</v>
      </c>
      <c r="H26" s="11">
        <v>0.06</v>
      </c>
      <c r="I26" s="29">
        <v>60</v>
      </c>
      <c r="J26" s="20">
        <f t="shared" si="7"/>
        <v>1E-3</v>
      </c>
      <c r="K26" s="2">
        <f t="shared" si="8"/>
        <v>13</v>
      </c>
      <c r="L26" s="2">
        <f t="shared" si="9"/>
        <v>13.600000000000001</v>
      </c>
      <c r="M26" s="2">
        <f t="shared" si="10"/>
        <v>0</v>
      </c>
      <c r="N26" s="2">
        <f t="shared" si="4"/>
        <v>0</v>
      </c>
      <c r="O26" s="2">
        <f t="shared" si="5"/>
        <v>0</v>
      </c>
      <c r="P26" s="2">
        <f t="shared" si="6"/>
        <v>0</v>
      </c>
      <c r="Q26" s="2">
        <f t="shared" si="11"/>
        <v>0</v>
      </c>
      <c r="S26" s="2">
        <f t="shared" si="2"/>
        <v>21</v>
      </c>
      <c r="T26" s="2">
        <f t="shared" si="1"/>
        <v>10.660000000000005</v>
      </c>
      <c r="U26" s="2">
        <v>17.100000000000001</v>
      </c>
      <c r="V26" s="2">
        <v>0.1</v>
      </c>
      <c r="W26" s="2">
        <v>0.06</v>
      </c>
      <c r="X26" s="2">
        <v>0.06</v>
      </c>
      <c r="AA26" s="2">
        <f>CHOOSE(CalNseSrc_DataType,Cal_SF_ENR,'346'!R25,'346'!R25,'346'!R25,'346'!R25,'346'!R25,U26)</f>
        <v>12</v>
      </c>
      <c r="AB26" s="2">
        <f t="shared" si="0"/>
        <v>0.1</v>
      </c>
      <c r="AC26" s="2">
        <f>CHOOSE(CalNseSrc_DataType,CalSF_NSgamma,'346'!Q25,'346'!Q25,'346'!Q25,'346'!Q25,'346'!Q25,W26)</f>
        <v>0.22</v>
      </c>
      <c r="AD26" s="2">
        <f>CHOOSE(CalNseSrc_DataType,Cal_SF_GamCold,'346'!Q25,'346'!Q25,'346'!Q25,'346'!Q25,'346'!Q25,X26)</f>
        <v>0.12</v>
      </c>
    </row>
    <row r="27" spans="1:31">
      <c r="A27" s="11">
        <v>14000</v>
      </c>
      <c r="B27" s="11" t="s">
        <v>305</v>
      </c>
      <c r="C27" s="11">
        <v>16.600000000000001</v>
      </c>
      <c r="D27" s="29"/>
      <c r="E27" s="11">
        <v>0.1</v>
      </c>
      <c r="F27" s="11">
        <v>7.0000000000000007E-2</v>
      </c>
      <c r="G27" s="29">
        <v>30</v>
      </c>
      <c r="H27" s="11">
        <v>0.05</v>
      </c>
      <c r="I27" s="29">
        <v>60</v>
      </c>
      <c r="J27" s="20">
        <f t="shared" si="7"/>
        <v>1E-3</v>
      </c>
      <c r="K27" s="2">
        <f t="shared" si="8"/>
        <v>14</v>
      </c>
      <c r="L27" s="2">
        <f t="shared" si="9"/>
        <v>12.600000000000001</v>
      </c>
      <c r="M27" s="2">
        <f t="shared" si="10"/>
        <v>0</v>
      </c>
      <c r="N27" s="2">
        <f t="shared" si="4"/>
        <v>0</v>
      </c>
      <c r="O27" s="2">
        <f t="shared" si="5"/>
        <v>0</v>
      </c>
      <c r="P27" s="2">
        <f t="shared" si="6"/>
        <v>0</v>
      </c>
      <c r="Q27" s="2">
        <f t="shared" si="11"/>
        <v>0</v>
      </c>
      <c r="S27" s="2">
        <f t="shared" si="2"/>
        <v>22</v>
      </c>
      <c r="T27" s="2">
        <f t="shared" si="1"/>
        <v>11.188000000000006</v>
      </c>
      <c r="U27" s="2">
        <v>17.100000000000001</v>
      </c>
      <c r="V27" s="2">
        <v>0.1</v>
      </c>
      <c r="W27" s="2">
        <v>0.06</v>
      </c>
      <c r="X27" s="2">
        <v>0.06</v>
      </c>
      <c r="AA27" s="2">
        <f>CHOOSE(CalNseSrc_DataType,Cal_SF_ENR,'346'!R26,'346'!R26,'346'!R26,'346'!R26,'346'!R26,U27)</f>
        <v>12</v>
      </c>
      <c r="AB27" s="2">
        <f t="shared" si="0"/>
        <v>0.1</v>
      </c>
      <c r="AC27" s="2">
        <f>CHOOSE(CalNseSrc_DataType,CalSF_NSgamma,'346'!Q26,'346'!Q26,'346'!Q26,'346'!Q26,'346'!Q26,W27)</f>
        <v>0.22</v>
      </c>
      <c r="AD27" s="2">
        <f>CHOOSE(CalNseSrc_DataType,Cal_SF_GamCold,'346'!Q26,'346'!Q26,'346'!Q26,'346'!Q26,'346'!Q26,X27)</f>
        <v>0.12</v>
      </c>
    </row>
    <row r="28" spans="1:31">
      <c r="A28" s="11">
        <v>15000</v>
      </c>
      <c r="B28" s="11" t="s">
        <v>305</v>
      </c>
      <c r="C28" s="11">
        <v>16.5</v>
      </c>
      <c r="D28" s="29"/>
      <c r="E28" s="11">
        <v>0.1</v>
      </c>
      <c r="F28" s="11">
        <v>0.09</v>
      </c>
      <c r="G28" s="29">
        <v>30</v>
      </c>
      <c r="H28" s="11">
        <v>0.05</v>
      </c>
      <c r="I28" s="29">
        <v>60</v>
      </c>
      <c r="J28" s="20">
        <f t="shared" si="7"/>
        <v>1E-3</v>
      </c>
      <c r="K28" s="2">
        <f t="shared" si="8"/>
        <v>15</v>
      </c>
      <c r="L28" s="2">
        <f t="shared" si="9"/>
        <v>11.600000000000001</v>
      </c>
      <c r="M28" s="2">
        <f t="shared" si="10"/>
        <v>0</v>
      </c>
      <c r="N28" s="2">
        <f t="shared" si="4"/>
        <v>0</v>
      </c>
      <c r="O28" s="2">
        <f t="shared" si="5"/>
        <v>0</v>
      </c>
      <c r="P28" s="2">
        <f t="shared" si="6"/>
        <v>0</v>
      </c>
      <c r="Q28" s="2">
        <f t="shared" si="11"/>
        <v>0</v>
      </c>
      <c r="S28" s="2">
        <f t="shared" si="2"/>
        <v>23</v>
      </c>
      <c r="T28" s="2">
        <f t="shared" si="1"/>
        <v>11.716000000000006</v>
      </c>
      <c r="U28" s="2">
        <v>17</v>
      </c>
      <c r="V28" s="2">
        <v>0.1</v>
      </c>
      <c r="W28" s="2">
        <v>7.0000000000000007E-2</v>
      </c>
      <c r="X28" s="2">
        <v>0.06</v>
      </c>
      <c r="AA28" s="2">
        <f>CHOOSE(CalNseSrc_DataType,Cal_SF_ENR,'346'!R27,'346'!R27,'346'!R27,'346'!R27,'346'!R27,U28)</f>
        <v>12</v>
      </c>
      <c r="AB28" s="2">
        <f t="shared" si="0"/>
        <v>0.1</v>
      </c>
      <c r="AC28" s="2">
        <f>CHOOSE(CalNseSrc_DataType,CalSF_NSgamma,'346'!Q27,'346'!Q27,'346'!Q27,'346'!Q27,'346'!Q27,W28)</f>
        <v>0.22</v>
      </c>
      <c r="AD28" s="2">
        <f>CHOOSE(CalNseSrc_DataType,Cal_SF_GamCold,'346'!Q27,'346'!Q27,'346'!Q27,'346'!Q27,'346'!Q27,X28)</f>
        <v>0.12</v>
      </c>
    </row>
    <row r="29" spans="1:31">
      <c r="A29" s="11">
        <v>16000</v>
      </c>
      <c r="B29" s="11" t="s">
        <v>305</v>
      </c>
      <c r="C29" s="11">
        <v>16.399999999999999</v>
      </c>
      <c r="D29" s="29"/>
      <c r="E29" s="11">
        <v>0.1</v>
      </c>
      <c r="F29" s="11">
        <v>0.09</v>
      </c>
      <c r="G29" s="29">
        <v>30</v>
      </c>
      <c r="H29" s="11">
        <v>0.05</v>
      </c>
      <c r="I29" s="29">
        <v>60</v>
      </c>
      <c r="J29" s="20">
        <f t="shared" si="7"/>
        <v>1E-3</v>
      </c>
      <c r="K29" s="2">
        <f t="shared" si="8"/>
        <v>16</v>
      </c>
      <c r="L29" s="2">
        <f t="shared" si="9"/>
        <v>10.600000000000001</v>
      </c>
      <c r="M29" s="2">
        <f t="shared" si="10"/>
        <v>0</v>
      </c>
      <c r="N29" s="2">
        <f t="shared" si="4"/>
        <v>0</v>
      </c>
      <c r="O29" s="2">
        <f t="shared" si="5"/>
        <v>0</v>
      </c>
      <c r="P29" s="2">
        <f t="shared" si="6"/>
        <v>0</v>
      </c>
      <c r="Q29" s="2">
        <f t="shared" si="11"/>
        <v>0</v>
      </c>
      <c r="S29" s="2">
        <f t="shared" si="2"/>
        <v>24</v>
      </c>
      <c r="T29" s="2">
        <f t="shared" si="1"/>
        <v>12.244000000000007</v>
      </c>
      <c r="U29" s="2">
        <v>17</v>
      </c>
      <c r="V29" s="2">
        <v>0.1</v>
      </c>
      <c r="W29" s="2">
        <v>7.0000000000000007E-2</v>
      </c>
      <c r="X29" s="2">
        <v>0.06</v>
      </c>
      <c r="AA29" s="2">
        <f>CHOOSE(CalNseSrc_DataType,Cal_SF_ENR,'346'!R28,'346'!R28,'346'!R28,'346'!R28,'346'!R28,U29)</f>
        <v>12</v>
      </c>
      <c r="AB29" s="2">
        <f t="shared" si="0"/>
        <v>0.1</v>
      </c>
      <c r="AC29" s="2">
        <f>CHOOSE(CalNseSrc_DataType,CalSF_NSgamma,'346'!Q28,'346'!Q28,'346'!Q28,'346'!Q28,'346'!Q28,W29)</f>
        <v>0.22</v>
      </c>
      <c r="AD29" s="2">
        <f>CHOOSE(CalNseSrc_DataType,Cal_SF_GamCold,'346'!Q28,'346'!Q28,'346'!Q28,'346'!Q28,'346'!Q28,X29)</f>
        <v>0.12</v>
      </c>
    </row>
    <row r="30" spans="1:31">
      <c r="A30" s="11">
        <v>17000</v>
      </c>
      <c r="B30" s="11" t="s">
        <v>305</v>
      </c>
      <c r="C30" s="11">
        <v>16.2</v>
      </c>
      <c r="D30" s="29"/>
      <c r="E30" s="11">
        <v>0.1</v>
      </c>
      <c r="F30" s="11">
        <v>0.09</v>
      </c>
      <c r="G30" s="29">
        <v>30</v>
      </c>
      <c r="H30" s="11">
        <v>0.04</v>
      </c>
      <c r="I30" s="29">
        <v>60</v>
      </c>
      <c r="J30" s="20">
        <f t="shared" si="7"/>
        <v>1E-3</v>
      </c>
      <c r="K30" s="2">
        <f t="shared" si="8"/>
        <v>17</v>
      </c>
      <c r="L30" s="2">
        <f t="shared" si="9"/>
        <v>9.6000000000000014</v>
      </c>
      <c r="M30" s="2">
        <f t="shared" si="10"/>
        <v>0</v>
      </c>
      <c r="N30" s="2">
        <f t="shared" si="4"/>
        <v>0</v>
      </c>
      <c r="O30" s="2">
        <f t="shared" si="5"/>
        <v>0</v>
      </c>
      <c r="P30" s="2">
        <f t="shared" si="6"/>
        <v>0</v>
      </c>
      <c r="Q30" s="2">
        <f t="shared" si="11"/>
        <v>0</v>
      </c>
      <c r="S30" s="2">
        <f t="shared" si="2"/>
        <v>25</v>
      </c>
      <c r="T30" s="2">
        <f t="shared" si="1"/>
        <v>12.772000000000007</v>
      </c>
      <c r="U30" s="2">
        <v>16.8</v>
      </c>
      <c r="V30" s="2">
        <v>0.1</v>
      </c>
      <c r="W30" s="2">
        <v>7.0000000000000007E-2</v>
      </c>
      <c r="X30" s="2">
        <v>0.06</v>
      </c>
      <c r="AA30" s="2">
        <f>CHOOSE(CalNseSrc_DataType,Cal_SF_ENR,'346'!R29,'346'!R29,'346'!R29,'346'!R29,'346'!R29,U30)</f>
        <v>12</v>
      </c>
      <c r="AB30" s="2">
        <f t="shared" si="0"/>
        <v>0.1</v>
      </c>
      <c r="AC30" s="2">
        <f>CHOOSE(CalNseSrc_DataType,CalSF_NSgamma,'346'!Q29,'346'!Q29,'346'!Q29,'346'!Q29,'346'!Q29,W30)</f>
        <v>0.22</v>
      </c>
      <c r="AD30" s="2">
        <f>CHOOSE(CalNseSrc_DataType,Cal_SF_GamCold,'346'!Q29,'346'!Q29,'346'!Q29,'346'!Q29,'346'!Q29,X30)</f>
        <v>0.12</v>
      </c>
    </row>
    <row r="31" spans="1:31">
      <c r="A31" s="11">
        <v>18000</v>
      </c>
      <c r="B31" s="11" t="s">
        <v>305</v>
      </c>
      <c r="C31" s="11">
        <v>16</v>
      </c>
      <c r="D31" s="29"/>
      <c r="E31" s="11">
        <v>0.1</v>
      </c>
      <c r="F31" s="11">
        <v>0.1</v>
      </c>
      <c r="G31" s="29">
        <v>30</v>
      </c>
      <c r="H31" s="11">
        <v>0.04</v>
      </c>
      <c r="I31" s="29">
        <v>60</v>
      </c>
      <c r="J31" s="20">
        <f t="shared" si="7"/>
        <v>1E-3</v>
      </c>
      <c r="K31" s="2">
        <f t="shared" si="8"/>
        <v>18</v>
      </c>
      <c r="L31" s="2">
        <f t="shared" si="9"/>
        <v>8.6000000000000014</v>
      </c>
      <c r="M31" s="2">
        <f t="shared" si="10"/>
        <v>0</v>
      </c>
      <c r="N31" s="2">
        <f t="shared" si="4"/>
        <v>0</v>
      </c>
      <c r="O31" s="2">
        <f t="shared" si="5"/>
        <v>0</v>
      </c>
      <c r="P31" s="2">
        <f t="shared" si="6"/>
        <v>0</v>
      </c>
      <c r="Q31" s="2">
        <f t="shared" si="11"/>
        <v>0</v>
      </c>
      <c r="S31" s="2">
        <f t="shared" si="2"/>
        <v>26</v>
      </c>
      <c r="T31" s="2">
        <f t="shared" si="1"/>
        <v>13.300000000000008</v>
      </c>
      <c r="U31" s="2">
        <v>16.8</v>
      </c>
      <c r="V31" s="2">
        <v>0.1</v>
      </c>
      <c r="W31" s="2">
        <v>7.0000000000000007E-2</v>
      </c>
      <c r="X31" s="2">
        <v>0.06</v>
      </c>
      <c r="AA31" s="2">
        <f>CHOOSE(CalNseSrc_DataType,Cal_SF_ENR,'346'!R30,'346'!R30,'346'!R30,'346'!R30,'346'!R30,U31)</f>
        <v>12</v>
      </c>
      <c r="AB31" s="2">
        <f t="shared" si="0"/>
        <v>0.1</v>
      </c>
      <c r="AC31" s="2">
        <f>CHOOSE(CalNseSrc_DataType,CalSF_NSgamma,'346'!Q30,'346'!Q30,'346'!Q30,'346'!Q30,'346'!Q30,W31)</f>
        <v>0.22</v>
      </c>
      <c r="AD31" s="2">
        <f>CHOOSE(CalNseSrc_DataType,Cal_SF_GamCold,'346'!Q30,'346'!Q30,'346'!Q30,'346'!Q30,'346'!Q30,X31)</f>
        <v>0.12</v>
      </c>
    </row>
    <row r="32" spans="1:31">
      <c r="A32" s="11">
        <v>19000</v>
      </c>
      <c r="B32" s="11" t="s">
        <v>305</v>
      </c>
      <c r="C32" s="11">
        <v>15.9</v>
      </c>
      <c r="D32" s="29"/>
      <c r="E32" s="11">
        <v>0.1</v>
      </c>
      <c r="F32" s="11">
        <v>0.1</v>
      </c>
      <c r="G32" s="29">
        <v>30</v>
      </c>
      <c r="H32" s="11">
        <v>0.04</v>
      </c>
      <c r="I32" s="29">
        <v>60</v>
      </c>
      <c r="J32" s="20">
        <f t="shared" si="7"/>
        <v>1E-3</v>
      </c>
      <c r="K32" s="2">
        <f t="shared" si="8"/>
        <v>19</v>
      </c>
      <c r="L32" s="2">
        <f t="shared" si="9"/>
        <v>7.6000000000000014</v>
      </c>
      <c r="M32" s="2">
        <f t="shared" si="10"/>
        <v>0</v>
      </c>
      <c r="N32" s="2">
        <f t="shared" si="4"/>
        <v>0</v>
      </c>
      <c r="O32" s="2">
        <f t="shared" si="5"/>
        <v>0</v>
      </c>
      <c r="P32" s="2">
        <f t="shared" si="6"/>
        <v>0</v>
      </c>
      <c r="Q32" s="2">
        <f t="shared" si="11"/>
        <v>0</v>
      </c>
      <c r="S32" s="2">
        <f t="shared" si="2"/>
        <v>27</v>
      </c>
      <c r="T32" s="2">
        <f t="shared" si="1"/>
        <v>13.828000000000008</v>
      </c>
      <c r="U32" s="2">
        <v>16.600000000000001</v>
      </c>
      <c r="V32" s="2">
        <v>0.1</v>
      </c>
      <c r="W32" s="2">
        <v>7.0000000000000007E-2</v>
      </c>
      <c r="X32" s="2">
        <v>0.05</v>
      </c>
      <c r="AA32" s="2">
        <f>CHOOSE(CalNseSrc_DataType,Cal_SF_ENR,'346'!R31,'346'!R31,'346'!R31,'346'!R31,'346'!R31,U32)</f>
        <v>12</v>
      </c>
      <c r="AB32" s="2">
        <f t="shared" si="0"/>
        <v>0.1</v>
      </c>
      <c r="AC32" s="2">
        <f>CHOOSE(CalNseSrc_DataType,CalSF_NSgamma,'346'!Q31,'346'!Q31,'346'!Q31,'346'!Q31,'346'!Q31,W32)</f>
        <v>0.22</v>
      </c>
      <c r="AD32" s="2">
        <f>CHOOSE(CalNseSrc_DataType,Cal_SF_GamCold,'346'!Q31,'346'!Q31,'346'!Q31,'346'!Q31,'346'!Q31,X32)</f>
        <v>0.12</v>
      </c>
    </row>
    <row r="33" spans="1:30">
      <c r="A33" s="11">
        <v>20000</v>
      </c>
      <c r="B33" s="11" t="s">
        <v>305</v>
      </c>
      <c r="C33" s="11">
        <v>15.8</v>
      </c>
      <c r="D33" s="29"/>
      <c r="E33" s="11">
        <v>0.1</v>
      </c>
      <c r="F33" s="11">
        <v>0.11</v>
      </c>
      <c r="G33" s="29">
        <v>30</v>
      </c>
      <c r="H33" s="11">
        <v>0.03</v>
      </c>
      <c r="I33" s="29">
        <v>60</v>
      </c>
      <c r="J33" s="20">
        <f t="shared" si="7"/>
        <v>1E-3</v>
      </c>
      <c r="K33" s="2">
        <f t="shared" si="8"/>
        <v>20</v>
      </c>
      <c r="L33" s="2">
        <f t="shared" si="9"/>
        <v>6.6000000000000014</v>
      </c>
      <c r="M33" s="2">
        <f t="shared" si="10"/>
        <v>0</v>
      </c>
      <c r="N33" s="2">
        <f t="shared" si="4"/>
        <v>0</v>
      </c>
      <c r="O33" s="2">
        <f t="shared" si="5"/>
        <v>0</v>
      </c>
      <c r="P33" s="2">
        <f t="shared" si="6"/>
        <v>0</v>
      </c>
      <c r="Q33" s="2">
        <f t="shared" si="11"/>
        <v>0</v>
      </c>
      <c r="S33" s="2">
        <f t="shared" si="2"/>
        <v>28</v>
      </c>
      <c r="T33" s="2">
        <f t="shared" si="1"/>
        <v>14.356000000000009</v>
      </c>
      <c r="U33" s="2">
        <v>16.600000000000001</v>
      </c>
      <c r="V33" s="2">
        <v>0.1</v>
      </c>
      <c r="W33" s="2">
        <v>7.0000000000000007E-2</v>
      </c>
      <c r="X33" s="2">
        <v>0.05</v>
      </c>
      <c r="AA33" s="2">
        <f>CHOOSE(CalNseSrc_DataType,Cal_SF_ENR,'346'!R32,'346'!R32,'346'!R32,'346'!R32,'346'!R32,U33)</f>
        <v>12</v>
      </c>
      <c r="AB33" s="2">
        <f t="shared" si="0"/>
        <v>0.1</v>
      </c>
      <c r="AC33" s="2">
        <f>CHOOSE(CalNseSrc_DataType,CalSF_NSgamma,'346'!Q32,'346'!Q32,'346'!Q32,'346'!Q32,'346'!Q32,W33)</f>
        <v>0.22</v>
      </c>
      <c r="AD33" s="2">
        <f>CHOOSE(CalNseSrc_DataType,Cal_SF_GamCold,'346'!Q32,'346'!Q32,'346'!Q32,'346'!Q32,'346'!Q32,X33)</f>
        <v>0.12</v>
      </c>
    </row>
    <row r="34" spans="1:30">
      <c r="A34" s="11">
        <v>21000</v>
      </c>
      <c r="B34" s="11" t="s">
        <v>305</v>
      </c>
      <c r="C34" s="11">
        <v>15.7</v>
      </c>
      <c r="D34" s="29"/>
      <c r="E34" s="11">
        <v>0.1</v>
      </c>
      <c r="F34" s="11">
        <v>0.11</v>
      </c>
      <c r="G34" s="29">
        <v>30</v>
      </c>
      <c r="H34" s="11">
        <v>0.02</v>
      </c>
      <c r="I34" s="29">
        <v>60</v>
      </c>
      <c r="J34" s="20">
        <f t="shared" si="7"/>
        <v>1E-3</v>
      </c>
      <c r="K34" s="2">
        <f t="shared" si="8"/>
        <v>21</v>
      </c>
      <c r="L34" s="2">
        <f t="shared" si="9"/>
        <v>5.6000000000000014</v>
      </c>
      <c r="M34" s="2">
        <f t="shared" si="10"/>
        <v>0</v>
      </c>
      <c r="N34" s="2">
        <f t="shared" si="4"/>
        <v>0</v>
      </c>
      <c r="O34" s="2">
        <f t="shared" si="5"/>
        <v>0</v>
      </c>
      <c r="P34" s="2">
        <f t="shared" si="6"/>
        <v>0</v>
      </c>
      <c r="Q34" s="2">
        <f t="shared" si="11"/>
        <v>0</v>
      </c>
      <c r="S34" s="2">
        <f t="shared" si="2"/>
        <v>29</v>
      </c>
      <c r="T34" s="2">
        <f t="shared" si="1"/>
        <v>14.884000000000009</v>
      </c>
      <c r="U34" s="2">
        <v>16.5</v>
      </c>
      <c r="V34" s="2">
        <v>0.1</v>
      </c>
      <c r="W34" s="2">
        <v>0.09</v>
      </c>
      <c r="X34" s="2">
        <v>0.05</v>
      </c>
      <c r="AA34" s="2">
        <f>CHOOSE(CalNseSrc_DataType,Cal_SF_ENR,'346'!R33,'346'!R33,'346'!R33,'346'!R33,'346'!R33,U34)</f>
        <v>12</v>
      </c>
      <c r="AB34" s="2">
        <f t="shared" si="0"/>
        <v>0.1</v>
      </c>
      <c r="AC34" s="2">
        <f>CHOOSE(CalNseSrc_DataType,CalSF_NSgamma,'346'!Q33,'346'!Q33,'346'!Q33,'346'!Q33,'346'!Q33,W34)</f>
        <v>0.22</v>
      </c>
      <c r="AD34" s="2">
        <f>CHOOSE(CalNseSrc_DataType,Cal_SF_GamCold,'346'!Q33,'346'!Q33,'346'!Q33,'346'!Q33,'346'!Q33,X34)</f>
        <v>0.12</v>
      </c>
    </row>
    <row r="35" spans="1:30">
      <c r="A35" s="11">
        <v>22000</v>
      </c>
      <c r="B35" s="11" t="s">
        <v>305</v>
      </c>
      <c r="C35" s="11">
        <v>15.5</v>
      </c>
      <c r="D35" s="29"/>
      <c r="E35" s="11">
        <v>0.1</v>
      </c>
      <c r="F35" s="11">
        <v>0.11</v>
      </c>
      <c r="G35" s="29">
        <v>30</v>
      </c>
      <c r="H35" s="11">
        <v>0.02</v>
      </c>
      <c r="I35" s="29">
        <v>60</v>
      </c>
      <c r="J35" s="20">
        <f t="shared" si="7"/>
        <v>1E-3</v>
      </c>
      <c r="K35" s="2">
        <f t="shared" si="8"/>
        <v>22</v>
      </c>
      <c r="L35" s="2">
        <f t="shared" si="9"/>
        <v>4.6000000000000014</v>
      </c>
      <c r="M35" s="2">
        <f t="shared" si="10"/>
        <v>0</v>
      </c>
      <c r="N35" s="2">
        <f t="shared" si="4"/>
        <v>0</v>
      </c>
      <c r="O35" s="2">
        <f t="shared" si="5"/>
        <v>0</v>
      </c>
      <c r="P35" s="2">
        <f t="shared" si="6"/>
        <v>0</v>
      </c>
      <c r="Q35" s="2">
        <f t="shared" si="11"/>
        <v>0</v>
      </c>
      <c r="S35" s="2">
        <f t="shared" si="2"/>
        <v>30</v>
      </c>
      <c r="T35" s="2">
        <f t="shared" si="1"/>
        <v>15.41200000000001</v>
      </c>
      <c r="U35" s="2">
        <v>16.5</v>
      </c>
      <c r="V35" s="2">
        <v>0.1</v>
      </c>
      <c r="W35" s="2">
        <v>0.09</v>
      </c>
      <c r="X35" s="2">
        <v>0.05</v>
      </c>
      <c r="AA35" s="2">
        <f>CHOOSE(CalNseSrc_DataType,Cal_SF_ENR,'346'!R34,'346'!R34,'346'!R34,'346'!R34,'346'!R34,U35)</f>
        <v>12</v>
      </c>
      <c r="AB35" s="2">
        <f t="shared" si="0"/>
        <v>0.1</v>
      </c>
      <c r="AC35" s="2">
        <f>CHOOSE(CalNseSrc_DataType,CalSF_NSgamma,'346'!Q34,'346'!Q34,'346'!Q34,'346'!Q34,'346'!Q34,W35)</f>
        <v>0.22</v>
      </c>
      <c r="AD35" s="2">
        <f>CHOOSE(CalNseSrc_DataType,Cal_SF_GamCold,'346'!Q34,'346'!Q34,'346'!Q34,'346'!Q34,'346'!Q34,X35)</f>
        <v>0.12</v>
      </c>
    </row>
    <row r="36" spans="1:30">
      <c r="A36" s="11">
        <v>23000</v>
      </c>
      <c r="B36" s="11" t="s">
        <v>305</v>
      </c>
      <c r="C36" s="11">
        <v>15.5</v>
      </c>
      <c r="D36" s="29"/>
      <c r="E36" s="11">
        <v>0.1</v>
      </c>
      <c r="F36" s="11">
        <v>0.11</v>
      </c>
      <c r="G36" s="29">
        <v>30</v>
      </c>
      <c r="H36" s="11">
        <v>0.02</v>
      </c>
      <c r="I36" s="29">
        <v>60</v>
      </c>
      <c r="J36" s="20">
        <f t="shared" si="7"/>
        <v>1E-3</v>
      </c>
      <c r="K36" s="2">
        <f t="shared" si="8"/>
        <v>23</v>
      </c>
      <c r="L36" s="2">
        <f t="shared" si="9"/>
        <v>3.6000000000000014</v>
      </c>
      <c r="M36" s="2">
        <f t="shared" si="10"/>
        <v>0</v>
      </c>
      <c r="N36" s="2">
        <f t="shared" si="4"/>
        <v>0</v>
      </c>
      <c r="O36" s="2">
        <f t="shared" si="5"/>
        <v>0</v>
      </c>
      <c r="P36" s="2">
        <f t="shared" si="6"/>
        <v>0</v>
      </c>
      <c r="Q36" s="2">
        <f t="shared" si="11"/>
        <v>0</v>
      </c>
      <c r="S36" s="2">
        <f t="shared" si="2"/>
        <v>31</v>
      </c>
      <c r="T36" s="2">
        <f t="shared" si="1"/>
        <v>15.94000000000001</v>
      </c>
      <c r="U36" s="2">
        <v>16.399999999999999</v>
      </c>
      <c r="V36" s="2">
        <v>0.1</v>
      </c>
      <c r="W36" s="2">
        <v>0.09</v>
      </c>
      <c r="X36" s="2">
        <v>0.05</v>
      </c>
      <c r="AA36" s="2">
        <f>CHOOSE(CalNseSrc_DataType,Cal_SF_ENR,'346'!R35,'346'!R35,'346'!R35,'346'!R35,'346'!R35,U36)</f>
        <v>12</v>
      </c>
      <c r="AB36" s="2">
        <f t="shared" si="0"/>
        <v>0.1</v>
      </c>
      <c r="AC36" s="2">
        <f>CHOOSE(CalNseSrc_DataType,CalSF_NSgamma,'346'!Q35,'346'!Q35,'346'!Q35,'346'!Q35,'346'!Q35,W36)</f>
        <v>0.22</v>
      </c>
      <c r="AD36" s="2">
        <f>CHOOSE(CalNseSrc_DataType,Cal_SF_GamCold,'346'!Q35,'346'!Q35,'346'!Q35,'346'!Q35,'346'!Q35,X36)</f>
        <v>0.12</v>
      </c>
    </row>
    <row r="37" spans="1:30">
      <c r="A37" s="11">
        <v>24000</v>
      </c>
      <c r="B37" s="11" t="s">
        <v>305</v>
      </c>
      <c r="C37" s="11">
        <v>15.5</v>
      </c>
      <c r="D37" s="29"/>
      <c r="E37" s="11">
        <v>0.1</v>
      </c>
      <c r="F37" s="11">
        <v>0.11</v>
      </c>
      <c r="G37" s="29">
        <v>30</v>
      </c>
      <c r="H37" s="11">
        <v>0.02</v>
      </c>
      <c r="I37" s="29">
        <v>60</v>
      </c>
      <c r="J37" s="20">
        <f t="shared" si="7"/>
        <v>1E-3</v>
      </c>
      <c r="K37" s="2">
        <f t="shared" si="8"/>
        <v>24</v>
      </c>
      <c r="L37" s="2">
        <f t="shared" si="9"/>
        <v>2.6000000000000014</v>
      </c>
      <c r="M37" s="2">
        <f t="shared" si="10"/>
        <v>0</v>
      </c>
      <c r="N37" s="2">
        <f t="shared" si="4"/>
        <v>0</v>
      </c>
      <c r="O37" s="2">
        <f t="shared" si="5"/>
        <v>0</v>
      </c>
      <c r="P37" s="2">
        <f t="shared" si="6"/>
        <v>0</v>
      </c>
      <c r="Q37" s="2">
        <f t="shared" si="11"/>
        <v>0</v>
      </c>
      <c r="S37" s="2">
        <f t="shared" si="2"/>
        <v>32</v>
      </c>
      <c r="T37" s="2">
        <f t="shared" si="1"/>
        <v>16.468000000000011</v>
      </c>
      <c r="U37" s="2">
        <v>16.399999999999999</v>
      </c>
      <c r="V37" s="2">
        <v>0.1</v>
      </c>
      <c r="W37" s="2">
        <v>0.09</v>
      </c>
      <c r="X37" s="2">
        <v>0.05</v>
      </c>
      <c r="AA37" s="2">
        <f>CHOOSE(CalNseSrc_DataType,Cal_SF_ENR,'346'!R36,'346'!R36,'346'!R36,'346'!R36,'346'!R36,U37)</f>
        <v>12</v>
      </c>
      <c r="AB37" s="2">
        <f t="shared" si="0"/>
        <v>0.1</v>
      </c>
      <c r="AC37" s="2">
        <f>CHOOSE(CalNseSrc_DataType,CalSF_NSgamma,'346'!Q36,'346'!Q36,'346'!Q36,'346'!Q36,'346'!Q36,W37)</f>
        <v>0.22</v>
      </c>
      <c r="AD37" s="2">
        <f>CHOOSE(CalNseSrc_DataType,Cal_SF_GamCold,'346'!Q36,'346'!Q36,'346'!Q36,'346'!Q36,'346'!Q36,X37)</f>
        <v>0.12</v>
      </c>
    </row>
    <row r="38" spans="1:30">
      <c r="A38" s="11">
        <v>25000</v>
      </c>
      <c r="B38" s="11" t="s">
        <v>305</v>
      </c>
      <c r="C38" s="11">
        <v>15.5</v>
      </c>
      <c r="D38" s="29"/>
      <c r="E38" s="11">
        <v>0.1</v>
      </c>
      <c r="F38" s="11">
        <v>0.11</v>
      </c>
      <c r="G38" s="29">
        <v>30</v>
      </c>
      <c r="H38" s="11">
        <v>0.02</v>
      </c>
      <c r="I38" s="29">
        <v>60</v>
      </c>
      <c r="J38" s="20">
        <f t="shared" si="7"/>
        <v>1E-3</v>
      </c>
      <c r="K38" s="2">
        <f t="shared" si="8"/>
        <v>25</v>
      </c>
      <c r="L38" s="2">
        <f t="shared" si="9"/>
        <v>1.6000000000000014</v>
      </c>
      <c r="M38" s="2">
        <f t="shared" si="10"/>
        <v>0</v>
      </c>
      <c r="N38" s="2">
        <f t="shared" si="4"/>
        <v>0</v>
      </c>
      <c r="O38" s="2">
        <f t="shared" si="5"/>
        <v>0</v>
      </c>
      <c r="P38" s="2">
        <f t="shared" si="6"/>
        <v>0</v>
      </c>
      <c r="Q38" s="2">
        <f t="shared" si="11"/>
        <v>0</v>
      </c>
      <c r="S38" s="2">
        <f t="shared" si="2"/>
        <v>33</v>
      </c>
      <c r="T38" s="2">
        <f t="shared" si="1"/>
        <v>16.996000000000009</v>
      </c>
      <c r="U38" s="2">
        <v>16.2</v>
      </c>
      <c r="V38" s="2">
        <v>0.1</v>
      </c>
      <c r="W38" s="2">
        <v>0.09</v>
      </c>
      <c r="X38" s="2">
        <v>0.04</v>
      </c>
      <c r="AA38" s="2">
        <f>CHOOSE(CalNseSrc_DataType,Cal_SF_ENR,'346'!R37,'346'!R37,'346'!R37,'346'!R37,'346'!R37,U38)</f>
        <v>12</v>
      </c>
      <c r="AB38" s="2">
        <f t="shared" si="0"/>
        <v>0.1</v>
      </c>
      <c r="AC38" s="2">
        <f>CHOOSE(CalNseSrc_DataType,CalSF_NSgamma,'346'!Q37,'346'!Q37,'346'!Q37,'346'!Q37,'346'!Q37,W38)</f>
        <v>0.22</v>
      </c>
      <c r="AD38" s="2">
        <f>CHOOSE(CalNseSrc_DataType,Cal_SF_GamCold,'346'!Q37,'346'!Q37,'346'!Q37,'346'!Q37,'346'!Q37,X38)</f>
        <v>0.12</v>
      </c>
    </row>
    <row r="39" spans="1:30">
      <c r="A39" s="11">
        <v>26000</v>
      </c>
      <c r="B39" s="11" t="s">
        <v>305</v>
      </c>
      <c r="C39" s="11">
        <v>15.5</v>
      </c>
      <c r="D39" s="29"/>
      <c r="E39" s="11">
        <v>0.1</v>
      </c>
      <c r="F39" s="11">
        <v>0.11</v>
      </c>
      <c r="G39" s="29">
        <v>30</v>
      </c>
      <c r="H39" s="11">
        <v>0.03</v>
      </c>
      <c r="I39" s="29">
        <v>60</v>
      </c>
      <c r="J39" s="20">
        <f t="shared" si="7"/>
        <v>1E-3</v>
      </c>
      <c r="K39" s="2">
        <f t="shared" si="8"/>
        <v>26</v>
      </c>
      <c r="L39" s="2">
        <f t="shared" si="9"/>
        <v>0.60000000000000142</v>
      </c>
      <c r="M39" s="2">
        <f t="shared" si="10"/>
        <v>0</v>
      </c>
      <c r="N39" s="2">
        <f t="shared" si="4"/>
        <v>0</v>
      </c>
      <c r="O39" s="2">
        <f t="shared" si="5"/>
        <v>0</v>
      </c>
      <c r="P39" s="2">
        <f t="shared" si="6"/>
        <v>0</v>
      </c>
      <c r="Q39" s="2">
        <f t="shared" si="11"/>
        <v>0</v>
      </c>
      <c r="S39" s="2">
        <f t="shared" si="2"/>
        <v>34</v>
      </c>
      <c r="T39" s="2">
        <f t="shared" si="1"/>
        <v>17.524000000000008</v>
      </c>
      <c r="U39" s="2">
        <v>16</v>
      </c>
      <c r="V39" s="2">
        <v>0.1</v>
      </c>
      <c r="W39" s="2">
        <v>0.1</v>
      </c>
      <c r="X39" s="2">
        <v>0.04</v>
      </c>
      <c r="AA39" s="2">
        <f>CHOOSE(CalNseSrc_DataType,Cal_SF_ENR,'346'!R38,'346'!R38,'346'!R38,'346'!R38,'346'!R38,U39)</f>
        <v>12</v>
      </c>
      <c r="AB39" s="2">
        <f t="shared" si="0"/>
        <v>0.1</v>
      </c>
      <c r="AC39" s="2">
        <f>CHOOSE(CalNseSrc_DataType,CalSF_NSgamma,'346'!Q38,'346'!Q38,'346'!Q38,'346'!Q38,'346'!Q38,W39)</f>
        <v>0.22</v>
      </c>
      <c r="AD39" s="2">
        <f>CHOOSE(CalNseSrc_DataType,Cal_SF_GamCold,'346'!Q38,'346'!Q38,'346'!Q38,'346'!Q38,'346'!Q38,X39)</f>
        <v>0.12</v>
      </c>
    </row>
    <row r="40" spans="1:30">
      <c r="A40" s="11">
        <v>26500</v>
      </c>
      <c r="B40" s="11" t="s">
        <v>305</v>
      </c>
      <c r="C40" s="11">
        <v>15.5</v>
      </c>
      <c r="D40" s="29"/>
      <c r="E40" s="11">
        <v>0.1</v>
      </c>
      <c r="F40" s="11">
        <v>0.1</v>
      </c>
      <c r="G40" s="29">
        <v>30</v>
      </c>
      <c r="H40" s="11">
        <v>0.04</v>
      </c>
      <c r="I40" s="29">
        <v>60</v>
      </c>
      <c r="J40" s="20">
        <f t="shared" si="7"/>
        <v>1E-3</v>
      </c>
      <c r="K40" s="2">
        <f t="shared" si="8"/>
        <v>26.5</v>
      </c>
      <c r="L40" s="2">
        <f t="shared" si="9"/>
        <v>0.10000000000000142</v>
      </c>
      <c r="M40" s="2">
        <f t="shared" si="10"/>
        <v>1</v>
      </c>
      <c r="N40" s="2">
        <f t="shared" si="4"/>
        <v>15.5</v>
      </c>
      <c r="O40" s="2">
        <f t="shared" si="5"/>
        <v>0.1</v>
      </c>
      <c r="P40" s="2">
        <f t="shared" si="6"/>
        <v>0.1</v>
      </c>
      <c r="Q40" s="2">
        <f t="shared" si="11"/>
        <v>0.04</v>
      </c>
      <c r="S40" s="2">
        <f t="shared" si="2"/>
        <v>35</v>
      </c>
      <c r="T40" s="2">
        <f t="shared" si="1"/>
        <v>18.052000000000007</v>
      </c>
      <c r="U40" s="2">
        <v>16</v>
      </c>
      <c r="V40" s="2">
        <v>0.1</v>
      </c>
      <c r="W40" s="2">
        <v>0.1</v>
      </c>
      <c r="X40" s="2">
        <v>0.04</v>
      </c>
      <c r="AA40" s="2">
        <f>CHOOSE(CalNseSrc_DataType,Cal_SF_ENR,'346'!R39,'346'!R39,'346'!R39,'346'!R39,'346'!R39,U40)</f>
        <v>12</v>
      </c>
      <c r="AB40" s="2">
        <f t="shared" si="0"/>
        <v>0.1</v>
      </c>
      <c r="AC40" s="2">
        <f>CHOOSE(CalNseSrc_DataType,CalSF_NSgamma,'346'!Q39,'346'!Q39,'346'!Q39,'346'!Q39,'346'!Q39,W40)</f>
        <v>0.22</v>
      </c>
      <c r="AD40" s="2">
        <f>CHOOSE(CalNseSrc_DataType,Cal_SF_GamCold,'346'!Q39,'346'!Q39,'346'!Q39,'346'!Q39,'346'!Q39,X40)</f>
        <v>0.12</v>
      </c>
    </row>
    <row r="41" spans="1:30">
      <c r="A41" s="11">
        <v>27000</v>
      </c>
      <c r="B41" s="11" t="s">
        <v>305</v>
      </c>
      <c r="C41" s="11">
        <v>15.5</v>
      </c>
      <c r="D41" s="29"/>
      <c r="E41" s="11">
        <v>0.1</v>
      </c>
      <c r="F41" s="11">
        <v>0.1</v>
      </c>
      <c r="G41" s="29">
        <v>30</v>
      </c>
      <c r="H41" s="11">
        <v>0.05</v>
      </c>
      <c r="I41" s="29">
        <v>60</v>
      </c>
      <c r="J41" s="20">
        <f t="shared" si="7"/>
        <v>1E-3</v>
      </c>
      <c r="K41" s="2">
        <f t="shared" si="8"/>
        <v>27</v>
      </c>
      <c r="L41" s="2">
        <f t="shared" si="9"/>
        <v>0.39999999999999858</v>
      </c>
      <c r="M41" s="2">
        <f t="shared" si="10"/>
        <v>0</v>
      </c>
      <c r="N41" s="2">
        <f t="shared" si="4"/>
        <v>0</v>
      </c>
      <c r="O41" s="2">
        <f t="shared" si="5"/>
        <v>0</v>
      </c>
      <c r="P41" s="2">
        <f t="shared" si="6"/>
        <v>0</v>
      </c>
      <c r="Q41" s="2">
        <f t="shared" si="11"/>
        <v>0</v>
      </c>
      <c r="S41" s="2">
        <f t="shared" si="2"/>
        <v>36</v>
      </c>
      <c r="T41" s="2">
        <f t="shared" si="1"/>
        <v>18.580000000000005</v>
      </c>
      <c r="U41" s="2">
        <v>15.9</v>
      </c>
      <c r="V41" s="2">
        <v>0.1</v>
      </c>
      <c r="W41" s="2">
        <v>0.1</v>
      </c>
      <c r="X41" s="2">
        <v>0.04</v>
      </c>
      <c r="AA41" s="2">
        <f>CHOOSE(CalNseSrc_DataType,Cal_SF_ENR,'346'!R40,'346'!R40,'346'!R40,'346'!R40,'346'!R40,U41)</f>
        <v>12</v>
      </c>
      <c r="AB41" s="2">
        <f t="shared" si="0"/>
        <v>0.1</v>
      </c>
      <c r="AC41" s="2">
        <f>CHOOSE(CalNseSrc_DataType,CalSF_NSgamma,'346'!Q40,'346'!Q40,'346'!Q40,'346'!Q40,'346'!Q40,W41)</f>
        <v>0.22</v>
      </c>
      <c r="AD41" s="2">
        <f>CHOOSE(CalNseSrc_DataType,Cal_SF_GamCold,'346'!Q40,'346'!Q40,'346'!Q40,'346'!Q40,'346'!Q40,X41)</f>
        <v>0.12</v>
      </c>
    </row>
    <row r="42" spans="1:30">
      <c r="A42" s="11">
        <v>28000</v>
      </c>
      <c r="B42" s="11" t="s">
        <v>305</v>
      </c>
      <c r="C42" s="11">
        <v>15.5</v>
      </c>
      <c r="D42" s="29"/>
      <c r="E42" s="11">
        <v>0.1</v>
      </c>
      <c r="F42" s="11">
        <v>0.1</v>
      </c>
      <c r="G42" s="29">
        <v>30</v>
      </c>
      <c r="H42" s="11">
        <v>0.06</v>
      </c>
      <c r="I42" s="29">
        <v>60</v>
      </c>
      <c r="J42" s="20">
        <f t="shared" si="7"/>
        <v>1E-3</v>
      </c>
      <c r="K42" s="2">
        <f t="shared" si="8"/>
        <v>28</v>
      </c>
      <c r="L42" s="2">
        <f t="shared" si="9"/>
        <v>1.3999999999999986</v>
      </c>
      <c r="M42" s="2">
        <f t="shared" si="10"/>
        <v>0</v>
      </c>
      <c r="N42" s="2">
        <f t="shared" si="4"/>
        <v>0</v>
      </c>
      <c r="O42" s="2">
        <f t="shared" si="5"/>
        <v>0</v>
      </c>
      <c r="P42" s="2">
        <f t="shared" si="6"/>
        <v>0</v>
      </c>
      <c r="Q42" s="2">
        <f t="shared" si="11"/>
        <v>0</v>
      </c>
      <c r="S42" s="2">
        <f t="shared" si="2"/>
        <v>37</v>
      </c>
      <c r="T42" s="2">
        <f t="shared" si="1"/>
        <v>19.108000000000004</v>
      </c>
      <c r="U42" s="2">
        <v>15.9</v>
      </c>
      <c r="V42" s="2">
        <v>0.1</v>
      </c>
      <c r="W42" s="2">
        <v>0.1</v>
      </c>
      <c r="X42" s="2">
        <v>0.04</v>
      </c>
      <c r="AA42" s="2">
        <f>CHOOSE(CalNseSrc_DataType,Cal_SF_ENR,'346'!R41,'346'!R41,'346'!R41,'346'!R41,'346'!R41,U42)</f>
        <v>12</v>
      </c>
      <c r="AB42" s="2">
        <f t="shared" si="0"/>
        <v>0.1</v>
      </c>
      <c r="AC42" s="2">
        <f>CHOOSE(CalNseSrc_DataType,CalSF_NSgamma,'346'!Q41,'346'!Q41,'346'!Q41,'346'!Q41,'346'!Q41,W42)</f>
        <v>0.22</v>
      </c>
      <c r="AD42" s="2">
        <f>CHOOSE(CalNseSrc_DataType,Cal_SF_GamCold,'346'!Q41,'346'!Q41,'346'!Q41,'346'!Q41,'346'!Q41,X42)</f>
        <v>0.12</v>
      </c>
    </row>
    <row r="43" spans="1:30">
      <c r="A43" s="11">
        <v>29000</v>
      </c>
      <c r="B43" s="11" t="s">
        <v>305</v>
      </c>
      <c r="C43" s="11">
        <v>15.5</v>
      </c>
      <c r="D43" s="29"/>
      <c r="E43" s="11">
        <v>0.1</v>
      </c>
      <c r="F43" s="11">
        <v>9.0999999999999998E-2</v>
      </c>
      <c r="G43" s="29">
        <v>30</v>
      </c>
      <c r="H43" s="11">
        <v>7.0000000000000007E-2</v>
      </c>
      <c r="I43" s="29">
        <v>60</v>
      </c>
      <c r="J43" s="20">
        <f t="shared" si="7"/>
        <v>1E-3</v>
      </c>
      <c r="K43" s="2">
        <f t="shared" si="8"/>
        <v>29</v>
      </c>
      <c r="L43" s="2">
        <f t="shared" si="9"/>
        <v>2.3999999999999986</v>
      </c>
      <c r="M43" s="2">
        <f t="shared" si="10"/>
        <v>0</v>
      </c>
      <c r="N43" s="2">
        <f t="shared" si="4"/>
        <v>0</v>
      </c>
      <c r="O43" s="2">
        <f t="shared" si="5"/>
        <v>0</v>
      </c>
      <c r="P43" s="2">
        <f t="shared" si="6"/>
        <v>0</v>
      </c>
      <c r="Q43" s="2">
        <f t="shared" si="11"/>
        <v>0</v>
      </c>
      <c r="S43" s="2">
        <f t="shared" si="2"/>
        <v>38</v>
      </c>
      <c r="T43" s="2">
        <f t="shared" si="1"/>
        <v>19.636000000000003</v>
      </c>
      <c r="U43" s="2">
        <v>15.8</v>
      </c>
      <c r="V43" s="2">
        <v>0.1</v>
      </c>
      <c r="W43" s="2">
        <v>0.11</v>
      </c>
      <c r="X43" s="2">
        <v>0.03</v>
      </c>
      <c r="AA43" s="2">
        <f>CHOOSE(CalNseSrc_DataType,Cal_SF_ENR,'346'!R42,'346'!R42,'346'!R42,'346'!R42,'346'!R42,U43)</f>
        <v>12</v>
      </c>
      <c r="AB43" s="2">
        <f t="shared" si="0"/>
        <v>0.1</v>
      </c>
      <c r="AC43" s="2">
        <f>CHOOSE(CalNseSrc_DataType,CalSF_NSgamma,'346'!Q42,'346'!Q42,'346'!Q42,'346'!Q42,'346'!Q42,W43)</f>
        <v>0.22</v>
      </c>
      <c r="AD43" s="2">
        <f>CHOOSE(CalNseSrc_DataType,Cal_SF_GamCold,'346'!Q42,'346'!Q42,'346'!Q42,'346'!Q42,'346'!Q42,X43)</f>
        <v>0.12</v>
      </c>
    </row>
    <row r="44" spans="1:30">
      <c r="A44" s="11">
        <v>30000</v>
      </c>
      <c r="B44" s="11" t="s">
        <v>305</v>
      </c>
      <c r="C44" s="11">
        <v>15.5</v>
      </c>
      <c r="D44" s="29"/>
      <c r="E44" s="11">
        <v>0.1</v>
      </c>
      <c r="F44" s="11">
        <v>8.1000000000000003E-2</v>
      </c>
      <c r="G44" s="29">
        <v>30</v>
      </c>
      <c r="H44" s="11">
        <v>0.08</v>
      </c>
      <c r="I44" s="29">
        <v>60</v>
      </c>
      <c r="J44" s="20">
        <f t="shared" si="7"/>
        <v>1E-3</v>
      </c>
      <c r="K44" s="2">
        <f t="shared" si="8"/>
        <v>30</v>
      </c>
      <c r="L44" s="2">
        <f t="shared" si="9"/>
        <v>3.3999999999999986</v>
      </c>
      <c r="M44" s="2">
        <f t="shared" si="10"/>
        <v>0</v>
      </c>
      <c r="N44" s="2">
        <f t="shared" ref="N44:N65" si="12">$M44*C44</f>
        <v>0</v>
      </c>
      <c r="O44" s="2">
        <f t="shared" ref="O44:O65" si="13">$M44*E44</f>
        <v>0</v>
      </c>
      <c r="P44" s="2">
        <f t="shared" ref="P44:P65" si="14">$M44*F44</f>
        <v>0</v>
      </c>
      <c r="Q44" s="2">
        <f t="shared" si="11"/>
        <v>0</v>
      </c>
      <c r="S44" s="2">
        <f t="shared" si="2"/>
        <v>39</v>
      </c>
      <c r="T44" s="2">
        <f t="shared" si="1"/>
        <v>20.164000000000001</v>
      </c>
      <c r="U44" s="2">
        <v>15.8</v>
      </c>
      <c r="V44" s="2">
        <v>0.1</v>
      </c>
      <c r="W44" s="2">
        <v>0.11</v>
      </c>
      <c r="X44" s="2">
        <v>0.03</v>
      </c>
      <c r="AA44" s="2">
        <f>CHOOSE(CalNseSrc_DataType,Cal_SF_ENR,'346'!R43,'346'!R43,'346'!R43,'346'!R43,'346'!R43,U44)</f>
        <v>12</v>
      </c>
      <c r="AB44" s="2">
        <f t="shared" si="0"/>
        <v>0.1</v>
      </c>
      <c r="AC44" s="2">
        <f>CHOOSE(CalNseSrc_DataType,CalSF_NSgamma,'346'!Q43,'346'!Q43,'346'!Q43,'346'!Q43,'346'!Q43,W44)</f>
        <v>0.22</v>
      </c>
      <c r="AD44" s="2">
        <f>CHOOSE(CalNseSrc_DataType,Cal_SF_GamCold,'346'!Q43,'346'!Q43,'346'!Q43,'346'!Q43,'346'!Q43,X44)</f>
        <v>0.12</v>
      </c>
    </row>
    <row r="45" spans="1:30">
      <c r="A45" s="11">
        <v>31000</v>
      </c>
      <c r="B45" s="11" t="s">
        <v>305</v>
      </c>
      <c r="C45" s="11">
        <v>15.5</v>
      </c>
      <c r="D45" s="29"/>
      <c r="E45" s="11">
        <v>0.1</v>
      </c>
      <c r="F45" s="11">
        <v>7.0999999999999994E-2</v>
      </c>
      <c r="G45" s="29">
        <v>30</v>
      </c>
      <c r="H45" s="11">
        <v>0.09</v>
      </c>
      <c r="I45" s="29">
        <v>60</v>
      </c>
      <c r="J45" s="20">
        <f t="shared" si="7"/>
        <v>1E-3</v>
      </c>
      <c r="K45" s="2">
        <f t="shared" si="8"/>
        <v>31</v>
      </c>
      <c r="L45" s="2">
        <f t="shared" si="9"/>
        <v>4.3999999999999986</v>
      </c>
      <c r="M45" s="2">
        <f t="shared" si="10"/>
        <v>0</v>
      </c>
      <c r="N45" s="2">
        <f t="shared" si="12"/>
        <v>0</v>
      </c>
      <c r="O45" s="2">
        <f t="shared" si="13"/>
        <v>0</v>
      </c>
      <c r="P45" s="2">
        <f t="shared" si="14"/>
        <v>0</v>
      </c>
      <c r="Q45" s="2">
        <f t="shared" si="11"/>
        <v>0</v>
      </c>
      <c r="S45" s="2">
        <f t="shared" si="2"/>
        <v>40</v>
      </c>
      <c r="T45" s="2">
        <f t="shared" si="1"/>
        <v>20.692</v>
      </c>
      <c r="U45" s="2">
        <v>15.7</v>
      </c>
      <c r="V45" s="2">
        <v>0.1</v>
      </c>
      <c r="W45" s="2">
        <v>0.11</v>
      </c>
      <c r="X45" s="2">
        <v>0.02</v>
      </c>
      <c r="AA45" s="2">
        <f>CHOOSE(CalNseSrc_DataType,Cal_SF_ENR,'346'!R44,'346'!R44,'346'!R44,'346'!R44,'346'!R44,U45)</f>
        <v>12</v>
      </c>
      <c r="AB45" s="2">
        <f t="shared" si="0"/>
        <v>0.1</v>
      </c>
      <c r="AC45" s="2">
        <f>CHOOSE(CalNseSrc_DataType,CalSF_NSgamma,'346'!Q44,'346'!Q44,'346'!Q44,'346'!Q44,'346'!Q44,W45)</f>
        <v>0.22</v>
      </c>
      <c r="AD45" s="2">
        <f>CHOOSE(CalNseSrc_DataType,Cal_SF_GamCold,'346'!Q44,'346'!Q44,'346'!Q44,'346'!Q44,'346'!Q44,X45)</f>
        <v>0.12</v>
      </c>
    </row>
    <row r="46" spans="1:30">
      <c r="A46" s="11">
        <v>32000</v>
      </c>
      <c r="B46" s="11" t="s">
        <v>305</v>
      </c>
      <c r="C46" s="11">
        <v>15.5</v>
      </c>
      <c r="D46" s="29"/>
      <c r="E46" s="11">
        <v>0.1</v>
      </c>
      <c r="F46" s="11">
        <v>6.0999999999999999E-2</v>
      </c>
      <c r="G46" s="29">
        <v>30</v>
      </c>
      <c r="H46" s="11">
        <v>0.1</v>
      </c>
      <c r="I46" s="29">
        <v>60</v>
      </c>
      <c r="J46" s="20">
        <f t="shared" si="7"/>
        <v>1E-3</v>
      </c>
      <c r="K46" s="2">
        <f t="shared" si="8"/>
        <v>32</v>
      </c>
      <c r="L46" s="2">
        <f t="shared" si="9"/>
        <v>5.3999999999999986</v>
      </c>
      <c r="M46" s="2">
        <f t="shared" si="10"/>
        <v>0</v>
      </c>
      <c r="N46" s="2">
        <f t="shared" si="12"/>
        <v>0</v>
      </c>
      <c r="O46" s="2">
        <f t="shared" si="13"/>
        <v>0</v>
      </c>
      <c r="P46" s="2">
        <f t="shared" si="14"/>
        <v>0</v>
      </c>
      <c r="Q46" s="2">
        <f t="shared" si="11"/>
        <v>0</v>
      </c>
      <c r="S46" s="2">
        <f t="shared" si="2"/>
        <v>41</v>
      </c>
      <c r="T46" s="2">
        <f t="shared" si="1"/>
        <v>21.22</v>
      </c>
      <c r="U46" s="2">
        <v>15.7</v>
      </c>
      <c r="V46" s="2">
        <v>0.1</v>
      </c>
      <c r="W46" s="2">
        <v>0.11</v>
      </c>
      <c r="X46" s="2">
        <v>0.02</v>
      </c>
      <c r="AA46" s="2">
        <f>CHOOSE(CalNseSrc_DataType,Cal_SF_ENR,'346'!R45,'346'!R45,'346'!R45,'346'!R45,'346'!R45,U46)</f>
        <v>12</v>
      </c>
      <c r="AB46" s="2">
        <f t="shared" si="0"/>
        <v>0.1</v>
      </c>
      <c r="AC46" s="2">
        <f>CHOOSE(CalNseSrc_DataType,CalSF_NSgamma,'346'!Q45,'346'!Q45,'346'!Q45,'346'!Q45,'346'!Q45,W46)</f>
        <v>0.22</v>
      </c>
      <c r="AD46" s="2">
        <f>CHOOSE(CalNseSrc_DataType,Cal_SF_GamCold,'346'!Q45,'346'!Q45,'346'!Q45,'346'!Q45,'346'!Q45,X46)</f>
        <v>0.12</v>
      </c>
    </row>
    <row r="47" spans="1:30">
      <c r="A47" s="11">
        <v>33000</v>
      </c>
      <c r="B47" s="11" t="s">
        <v>305</v>
      </c>
      <c r="C47" s="11">
        <v>15.5</v>
      </c>
      <c r="D47" s="29"/>
      <c r="E47" s="11">
        <v>0.1</v>
      </c>
      <c r="F47" s="11">
        <v>5.0999999999999997E-2</v>
      </c>
      <c r="G47" s="29">
        <v>30</v>
      </c>
      <c r="H47" s="11">
        <v>0.1</v>
      </c>
      <c r="I47" s="29">
        <v>60</v>
      </c>
      <c r="J47" s="20">
        <f t="shared" si="7"/>
        <v>1E-3</v>
      </c>
      <c r="K47" s="2">
        <f t="shared" si="8"/>
        <v>33</v>
      </c>
      <c r="L47" s="2">
        <f t="shared" si="9"/>
        <v>6.3999999999999986</v>
      </c>
      <c r="M47" s="2">
        <f t="shared" si="10"/>
        <v>0</v>
      </c>
      <c r="N47" s="2">
        <f t="shared" si="12"/>
        <v>0</v>
      </c>
      <c r="O47" s="2">
        <f t="shared" si="13"/>
        <v>0</v>
      </c>
      <c r="P47" s="2">
        <f t="shared" si="14"/>
        <v>0</v>
      </c>
      <c r="Q47" s="2">
        <f t="shared" si="11"/>
        <v>0</v>
      </c>
      <c r="S47" s="2">
        <f t="shared" si="2"/>
        <v>42</v>
      </c>
      <c r="T47" s="2">
        <f t="shared" si="1"/>
        <v>21.747999999999998</v>
      </c>
      <c r="U47" s="2">
        <v>15.5</v>
      </c>
      <c r="V47" s="2">
        <v>0.1</v>
      </c>
      <c r="W47" s="2">
        <v>0.11</v>
      </c>
      <c r="X47" s="2">
        <v>0.02</v>
      </c>
      <c r="AA47" s="2">
        <f>CHOOSE(CalNseSrc_DataType,Cal_SF_ENR,'346'!R46,'346'!R46,'346'!R46,'346'!R46,'346'!R46,U47)</f>
        <v>12</v>
      </c>
      <c r="AB47" s="2">
        <f t="shared" si="0"/>
        <v>0.1</v>
      </c>
      <c r="AC47" s="2">
        <f>CHOOSE(CalNseSrc_DataType,CalSF_NSgamma,'346'!Q46,'346'!Q46,'346'!Q46,'346'!Q46,'346'!Q46,W47)</f>
        <v>0.22</v>
      </c>
      <c r="AD47" s="2">
        <f>CHOOSE(CalNseSrc_DataType,Cal_SF_GamCold,'346'!Q46,'346'!Q46,'346'!Q46,'346'!Q46,'346'!Q46,X47)</f>
        <v>0.12</v>
      </c>
    </row>
    <row r="48" spans="1:30">
      <c r="A48" s="11">
        <v>34000</v>
      </c>
      <c r="B48" s="11" t="s">
        <v>305</v>
      </c>
      <c r="C48" s="11">
        <v>15.5</v>
      </c>
      <c r="D48" s="29"/>
      <c r="E48" s="11">
        <v>0.1</v>
      </c>
      <c r="F48" s="11">
        <v>4.1000000000000002E-2</v>
      </c>
      <c r="G48" s="29">
        <v>30</v>
      </c>
      <c r="H48" s="11">
        <v>0.1</v>
      </c>
      <c r="I48" s="29">
        <v>60</v>
      </c>
      <c r="J48" s="20">
        <f t="shared" si="7"/>
        <v>1E-3</v>
      </c>
      <c r="K48" s="2">
        <f t="shared" si="8"/>
        <v>34</v>
      </c>
      <c r="L48" s="2">
        <f t="shared" si="9"/>
        <v>7.3999999999999986</v>
      </c>
      <c r="M48" s="2">
        <f t="shared" si="10"/>
        <v>0</v>
      </c>
      <c r="N48" s="2">
        <f t="shared" si="12"/>
        <v>0</v>
      </c>
      <c r="O48" s="2">
        <f t="shared" si="13"/>
        <v>0</v>
      </c>
      <c r="P48" s="2">
        <f t="shared" si="14"/>
        <v>0</v>
      </c>
      <c r="Q48" s="2">
        <f t="shared" si="11"/>
        <v>0</v>
      </c>
      <c r="S48" s="2">
        <f t="shared" si="2"/>
        <v>43</v>
      </c>
      <c r="T48" s="2">
        <f t="shared" si="1"/>
        <v>22.275999999999996</v>
      </c>
      <c r="U48" s="2">
        <v>15.5</v>
      </c>
      <c r="V48" s="2">
        <v>0.1</v>
      </c>
      <c r="W48" s="2">
        <v>0.11</v>
      </c>
      <c r="X48" s="2">
        <v>0.02</v>
      </c>
      <c r="AA48" s="2">
        <f>CHOOSE(CalNseSrc_DataType,Cal_SF_ENR,'346'!R47,'346'!R47,'346'!R47,'346'!R47,'346'!R47,U48)</f>
        <v>12</v>
      </c>
      <c r="AB48" s="2">
        <f t="shared" si="0"/>
        <v>0.1</v>
      </c>
      <c r="AC48" s="2">
        <f>CHOOSE(CalNseSrc_DataType,CalSF_NSgamma,'346'!Q47,'346'!Q47,'346'!Q47,'346'!Q47,'346'!Q47,W48)</f>
        <v>0.22</v>
      </c>
      <c r="AD48" s="2">
        <f>CHOOSE(CalNseSrc_DataType,Cal_SF_GamCold,'346'!Q47,'346'!Q47,'346'!Q47,'346'!Q47,'346'!Q47,X48)</f>
        <v>0.12</v>
      </c>
    </row>
    <row r="49" spans="1:30">
      <c r="A49" s="11">
        <v>35000</v>
      </c>
      <c r="B49" s="11" t="s">
        <v>305</v>
      </c>
      <c r="C49" s="11">
        <v>15.5</v>
      </c>
      <c r="D49" s="29"/>
      <c r="E49" s="11">
        <v>0.1</v>
      </c>
      <c r="F49" s="11">
        <v>3.1E-2</v>
      </c>
      <c r="G49" s="29">
        <v>30</v>
      </c>
      <c r="H49" s="11">
        <v>0.11</v>
      </c>
      <c r="I49" s="29">
        <v>60</v>
      </c>
      <c r="J49" s="20">
        <f t="shared" si="7"/>
        <v>1E-3</v>
      </c>
      <c r="K49" s="2">
        <f t="shared" si="8"/>
        <v>35</v>
      </c>
      <c r="L49" s="2">
        <f t="shared" si="9"/>
        <v>8.3999999999999986</v>
      </c>
      <c r="M49" s="2">
        <f t="shared" si="10"/>
        <v>0</v>
      </c>
      <c r="N49" s="2">
        <f t="shared" si="12"/>
        <v>0</v>
      </c>
      <c r="O49" s="2">
        <f t="shared" si="13"/>
        <v>0</v>
      </c>
      <c r="P49" s="2">
        <f t="shared" si="14"/>
        <v>0</v>
      </c>
      <c r="Q49" s="2">
        <f t="shared" si="11"/>
        <v>0</v>
      </c>
      <c r="S49" s="2">
        <f t="shared" si="2"/>
        <v>44</v>
      </c>
      <c r="T49" s="2">
        <f t="shared" si="1"/>
        <v>22.803999999999995</v>
      </c>
      <c r="U49" s="2">
        <v>15.5</v>
      </c>
      <c r="V49" s="2">
        <v>0.1</v>
      </c>
      <c r="W49" s="2">
        <v>0.11</v>
      </c>
      <c r="X49" s="2">
        <v>0.02</v>
      </c>
      <c r="AA49" s="2">
        <f>CHOOSE(CalNseSrc_DataType,Cal_SF_ENR,'346'!R48,'346'!R48,'346'!R48,'346'!R48,'346'!R48,U49)</f>
        <v>12</v>
      </c>
      <c r="AB49" s="2">
        <f t="shared" si="0"/>
        <v>0.1</v>
      </c>
      <c r="AC49" s="2">
        <f>CHOOSE(CalNseSrc_DataType,CalSF_NSgamma,'346'!Q48,'346'!Q48,'346'!Q48,'346'!Q48,'346'!Q48,W49)</f>
        <v>0.22</v>
      </c>
      <c r="AD49" s="2">
        <f>CHOOSE(CalNseSrc_DataType,Cal_SF_GamCold,'346'!Q48,'346'!Q48,'346'!Q48,'346'!Q48,'346'!Q48,X49)</f>
        <v>0.12</v>
      </c>
    </row>
    <row r="50" spans="1:30">
      <c r="A50" s="11">
        <v>36000</v>
      </c>
      <c r="B50" s="11" t="s">
        <v>305</v>
      </c>
      <c r="C50" s="11">
        <v>15.5</v>
      </c>
      <c r="D50" s="29"/>
      <c r="E50" s="11">
        <v>0.1</v>
      </c>
      <c r="F50" s="11">
        <v>2.1000000000000001E-2</v>
      </c>
      <c r="G50" s="29">
        <v>30</v>
      </c>
      <c r="H50" s="11">
        <v>0.11</v>
      </c>
      <c r="I50" s="29">
        <v>60</v>
      </c>
      <c r="J50" s="20">
        <f t="shared" si="7"/>
        <v>1E-3</v>
      </c>
      <c r="K50" s="2">
        <f t="shared" si="8"/>
        <v>36</v>
      </c>
      <c r="L50" s="2">
        <f t="shared" si="9"/>
        <v>9.3999999999999986</v>
      </c>
      <c r="M50" s="2">
        <f t="shared" si="10"/>
        <v>0</v>
      </c>
      <c r="N50" s="2">
        <f t="shared" si="12"/>
        <v>0</v>
      </c>
      <c r="O50" s="2">
        <f t="shared" si="13"/>
        <v>0</v>
      </c>
      <c r="P50" s="2">
        <f t="shared" si="14"/>
        <v>0</v>
      </c>
      <c r="Q50" s="2">
        <f t="shared" si="11"/>
        <v>0</v>
      </c>
      <c r="S50" s="2">
        <f t="shared" si="2"/>
        <v>45</v>
      </c>
      <c r="T50" s="2">
        <f t="shared" si="1"/>
        <v>23.331999999999994</v>
      </c>
      <c r="U50" s="2">
        <v>15.5</v>
      </c>
      <c r="V50" s="2">
        <v>0.1</v>
      </c>
      <c r="W50" s="2">
        <v>0.11</v>
      </c>
      <c r="X50" s="2">
        <v>0.02</v>
      </c>
      <c r="AA50" s="2">
        <f>CHOOSE(CalNseSrc_DataType,Cal_SF_ENR,'346'!R49,'346'!R49,'346'!R49,'346'!R49,'346'!R49,U50)</f>
        <v>12</v>
      </c>
      <c r="AB50" s="2">
        <f t="shared" si="0"/>
        <v>0.1</v>
      </c>
      <c r="AC50" s="2">
        <f>CHOOSE(CalNseSrc_DataType,CalSF_NSgamma,'346'!Q49,'346'!Q49,'346'!Q49,'346'!Q49,'346'!Q49,W50)</f>
        <v>0.22</v>
      </c>
      <c r="AD50" s="2">
        <f>CHOOSE(CalNseSrc_DataType,Cal_SF_GamCold,'346'!Q49,'346'!Q49,'346'!Q49,'346'!Q49,'346'!Q49,X50)</f>
        <v>0.12</v>
      </c>
    </row>
    <row r="51" spans="1:30">
      <c r="A51" s="11">
        <v>37000</v>
      </c>
      <c r="B51" s="11" t="s">
        <v>305</v>
      </c>
      <c r="C51" s="11">
        <v>15.5</v>
      </c>
      <c r="D51" s="29"/>
      <c r="E51" s="11">
        <v>0.1</v>
      </c>
      <c r="F51" s="11">
        <v>0.01</v>
      </c>
      <c r="G51" s="29">
        <v>30</v>
      </c>
      <c r="H51" s="11">
        <v>0.11</v>
      </c>
      <c r="I51" s="29">
        <v>60</v>
      </c>
      <c r="J51" s="20">
        <f t="shared" si="7"/>
        <v>1E-3</v>
      </c>
      <c r="K51" s="2">
        <f t="shared" si="8"/>
        <v>37</v>
      </c>
      <c r="L51" s="2">
        <f t="shared" si="9"/>
        <v>10.399999999999999</v>
      </c>
      <c r="M51" s="2">
        <f t="shared" si="10"/>
        <v>0</v>
      </c>
      <c r="N51" s="2">
        <f t="shared" si="12"/>
        <v>0</v>
      </c>
      <c r="O51" s="2">
        <f t="shared" si="13"/>
        <v>0</v>
      </c>
      <c r="P51" s="2">
        <f t="shared" si="14"/>
        <v>0</v>
      </c>
      <c r="Q51" s="2">
        <f t="shared" si="11"/>
        <v>0</v>
      </c>
      <c r="S51" s="2">
        <f t="shared" si="2"/>
        <v>46</v>
      </c>
      <c r="T51" s="2">
        <f t="shared" si="1"/>
        <v>23.859999999999992</v>
      </c>
      <c r="U51" s="2">
        <v>15.5</v>
      </c>
      <c r="V51" s="2">
        <v>0.1</v>
      </c>
      <c r="W51" s="2">
        <v>0.11</v>
      </c>
      <c r="X51" s="2">
        <v>0.02</v>
      </c>
      <c r="AA51" s="2">
        <f>CHOOSE(CalNseSrc_DataType,Cal_SF_ENR,'346'!R50,'346'!R50,'346'!R50,'346'!R50,'346'!R50,U51)</f>
        <v>12</v>
      </c>
      <c r="AB51" s="2">
        <f t="shared" si="0"/>
        <v>0.1</v>
      </c>
      <c r="AC51" s="2">
        <f>CHOOSE(CalNseSrc_DataType,CalSF_NSgamma,'346'!Q50,'346'!Q50,'346'!Q50,'346'!Q50,'346'!Q50,W51)</f>
        <v>0.22</v>
      </c>
      <c r="AD51" s="2">
        <f>CHOOSE(CalNseSrc_DataType,Cal_SF_GamCold,'346'!Q50,'346'!Q50,'346'!Q50,'346'!Q50,'346'!Q50,X51)</f>
        <v>0.12</v>
      </c>
    </row>
    <row r="52" spans="1:30">
      <c r="A52" s="11">
        <v>38000</v>
      </c>
      <c r="B52" s="11" t="s">
        <v>305</v>
      </c>
      <c r="C52" s="11">
        <v>15.5</v>
      </c>
      <c r="D52" s="29"/>
      <c r="E52" s="11">
        <v>0.1</v>
      </c>
      <c r="F52" s="11">
        <v>0</v>
      </c>
      <c r="G52" s="29">
        <v>30</v>
      </c>
      <c r="H52" s="11">
        <v>0.11</v>
      </c>
      <c r="I52" s="29">
        <v>60</v>
      </c>
      <c r="J52" s="20">
        <f t="shared" si="7"/>
        <v>1E-3</v>
      </c>
      <c r="K52" s="2">
        <f t="shared" si="8"/>
        <v>38</v>
      </c>
      <c r="L52" s="2">
        <f t="shared" si="9"/>
        <v>11.399999999999999</v>
      </c>
      <c r="M52" s="2">
        <f t="shared" si="10"/>
        <v>0</v>
      </c>
      <c r="N52" s="2">
        <f t="shared" si="12"/>
        <v>0</v>
      </c>
      <c r="O52" s="2">
        <f t="shared" si="13"/>
        <v>0</v>
      </c>
      <c r="P52" s="2">
        <f t="shared" si="14"/>
        <v>0</v>
      </c>
      <c r="Q52" s="2">
        <f t="shared" si="11"/>
        <v>0</v>
      </c>
      <c r="S52" s="2">
        <f t="shared" si="2"/>
        <v>47</v>
      </c>
      <c r="T52" s="2">
        <f t="shared" si="1"/>
        <v>24.387999999999991</v>
      </c>
      <c r="U52" s="2">
        <v>15.5</v>
      </c>
      <c r="V52" s="2">
        <v>0.1</v>
      </c>
      <c r="W52" s="2">
        <v>0.11</v>
      </c>
      <c r="X52" s="2">
        <v>0.02</v>
      </c>
      <c r="AA52" s="2">
        <f>CHOOSE(CalNseSrc_DataType,Cal_SF_ENR,'346'!R51,'346'!R51,'346'!R51,'346'!R51,'346'!R51,U52)</f>
        <v>12</v>
      </c>
      <c r="AB52" s="2">
        <f t="shared" si="0"/>
        <v>0.1</v>
      </c>
      <c r="AC52" s="2">
        <f>CHOOSE(CalNseSrc_DataType,CalSF_NSgamma,'346'!Q51,'346'!Q51,'346'!Q51,'346'!Q51,'346'!Q51,W52)</f>
        <v>0.22</v>
      </c>
      <c r="AD52" s="2">
        <f>CHOOSE(CalNseSrc_DataType,Cal_SF_GamCold,'346'!Q51,'346'!Q51,'346'!Q51,'346'!Q51,'346'!Q51,X52)</f>
        <v>0.12</v>
      </c>
    </row>
    <row r="53" spans="1:30">
      <c r="A53" s="11">
        <v>39000</v>
      </c>
      <c r="B53" s="11" t="s">
        <v>305</v>
      </c>
      <c r="C53" s="11">
        <v>15.5</v>
      </c>
      <c r="D53" s="29"/>
      <c r="E53" s="11">
        <v>0.1</v>
      </c>
      <c r="F53" s="11">
        <v>0.01</v>
      </c>
      <c r="G53" s="29">
        <v>30</v>
      </c>
      <c r="H53" s="11">
        <v>0.11</v>
      </c>
      <c r="I53" s="29">
        <v>60</v>
      </c>
      <c r="J53" s="20">
        <f t="shared" si="7"/>
        <v>1E-3</v>
      </c>
      <c r="K53" s="2">
        <f t="shared" si="8"/>
        <v>39</v>
      </c>
      <c r="L53" s="2">
        <f t="shared" si="9"/>
        <v>12.399999999999999</v>
      </c>
      <c r="M53" s="2">
        <f t="shared" si="10"/>
        <v>0</v>
      </c>
      <c r="N53" s="2">
        <f t="shared" si="12"/>
        <v>0</v>
      </c>
      <c r="O53" s="2">
        <f t="shared" si="13"/>
        <v>0</v>
      </c>
      <c r="P53" s="2">
        <f t="shared" si="14"/>
        <v>0</v>
      </c>
      <c r="Q53" s="2">
        <f t="shared" si="11"/>
        <v>0</v>
      </c>
      <c r="S53" s="2">
        <f t="shared" si="2"/>
        <v>48</v>
      </c>
      <c r="T53" s="2">
        <f t="shared" si="1"/>
        <v>24.91599999999999</v>
      </c>
      <c r="U53" s="2">
        <v>15.5</v>
      </c>
      <c r="V53" s="2">
        <v>0.1</v>
      </c>
      <c r="W53" s="2">
        <v>0.11</v>
      </c>
      <c r="X53" s="2">
        <v>0.02</v>
      </c>
      <c r="AA53" s="2">
        <f>CHOOSE(CalNseSrc_DataType,Cal_SF_ENR,'346'!R52,'346'!R52,'346'!R52,'346'!R52,'346'!R52,U53)</f>
        <v>12</v>
      </c>
      <c r="AB53" s="2">
        <f t="shared" si="0"/>
        <v>0.1</v>
      </c>
      <c r="AC53" s="2">
        <f>CHOOSE(CalNseSrc_DataType,CalSF_NSgamma,'346'!Q52,'346'!Q52,'346'!Q52,'346'!Q52,'346'!Q52,W53)</f>
        <v>0.22</v>
      </c>
      <c r="AD53" s="2">
        <f>CHOOSE(CalNseSrc_DataType,Cal_SF_GamCold,'346'!Q52,'346'!Q52,'346'!Q52,'346'!Q52,'346'!Q52,X53)</f>
        <v>0.12</v>
      </c>
    </row>
    <row r="54" spans="1:30">
      <c r="A54" s="11">
        <v>40000</v>
      </c>
      <c r="B54" s="11" t="s">
        <v>305</v>
      </c>
      <c r="C54" s="11">
        <v>15.5</v>
      </c>
      <c r="D54" s="29"/>
      <c r="E54" s="11">
        <v>0.1</v>
      </c>
      <c r="F54" s="11">
        <v>0.04</v>
      </c>
      <c r="G54" s="29">
        <v>30</v>
      </c>
      <c r="H54" s="11">
        <v>0.12</v>
      </c>
      <c r="I54" s="29">
        <v>60</v>
      </c>
      <c r="J54" s="20">
        <f t="shared" si="7"/>
        <v>1E-3</v>
      </c>
      <c r="K54" s="2">
        <f t="shared" si="8"/>
        <v>40</v>
      </c>
      <c r="L54" s="2">
        <f t="shared" si="9"/>
        <v>13.399999999999999</v>
      </c>
      <c r="M54" s="2">
        <f t="shared" si="10"/>
        <v>0</v>
      </c>
      <c r="N54" s="2">
        <f t="shared" si="12"/>
        <v>0</v>
      </c>
      <c r="O54" s="2">
        <f t="shared" si="13"/>
        <v>0</v>
      </c>
      <c r="P54" s="2">
        <f t="shared" si="14"/>
        <v>0</v>
      </c>
      <c r="Q54" s="2">
        <f t="shared" si="11"/>
        <v>0</v>
      </c>
      <c r="S54" s="2">
        <f t="shared" si="2"/>
        <v>49</v>
      </c>
      <c r="T54" s="2">
        <f t="shared" si="1"/>
        <v>25.443999999999988</v>
      </c>
      <c r="U54" s="2">
        <v>15.5</v>
      </c>
      <c r="V54" s="2">
        <v>0.1</v>
      </c>
      <c r="W54" s="2">
        <v>0.11</v>
      </c>
      <c r="X54" s="2">
        <v>0.02</v>
      </c>
      <c r="AA54" s="2">
        <f>CHOOSE(CalNseSrc_DataType,Cal_SF_ENR,'346'!R53,'346'!R53,'346'!R53,'346'!R53,'346'!R53,U54)</f>
        <v>12</v>
      </c>
      <c r="AB54" s="2">
        <f t="shared" si="0"/>
        <v>0.1</v>
      </c>
      <c r="AC54" s="2">
        <f>CHOOSE(CalNseSrc_DataType,CalSF_NSgamma,'346'!Q53,'346'!Q53,'346'!Q53,'346'!Q53,'346'!Q53,W54)</f>
        <v>0.22</v>
      </c>
      <c r="AD54" s="2">
        <f>CHOOSE(CalNseSrc_DataType,Cal_SF_GamCold,'346'!Q53,'346'!Q53,'346'!Q53,'346'!Q53,'346'!Q53,X54)</f>
        <v>0.12</v>
      </c>
    </row>
    <row r="55" spans="1:30">
      <c r="A55" s="11">
        <v>41000</v>
      </c>
      <c r="B55" s="11" t="s">
        <v>305</v>
      </c>
      <c r="C55" s="11">
        <v>15.5</v>
      </c>
      <c r="D55" s="29"/>
      <c r="E55" s="11">
        <v>0.1</v>
      </c>
      <c r="F55" s="11">
        <v>0.05</v>
      </c>
      <c r="G55" s="29">
        <v>30</v>
      </c>
      <c r="H55" s="11">
        <v>0.12</v>
      </c>
      <c r="I55" s="29">
        <v>60</v>
      </c>
      <c r="J55" s="20">
        <f t="shared" si="7"/>
        <v>1E-3</v>
      </c>
      <c r="K55" s="2">
        <f t="shared" si="8"/>
        <v>41</v>
      </c>
      <c r="L55" s="2">
        <f t="shared" si="9"/>
        <v>14.399999999999999</v>
      </c>
      <c r="M55" s="2">
        <f t="shared" si="10"/>
        <v>0</v>
      </c>
      <c r="N55" s="2">
        <f t="shared" si="12"/>
        <v>0</v>
      </c>
      <c r="O55" s="2">
        <f t="shared" si="13"/>
        <v>0</v>
      </c>
      <c r="P55" s="2">
        <f t="shared" si="14"/>
        <v>0</v>
      </c>
      <c r="Q55" s="2">
        <f t="shared" si="11"/>
        <v>0</v>
      </c>
      <c r="S55" s="2">
        <f t="shared" si="2"/>
        <v>50</v>
      </c>
      <c r="T55" s="2">
        <f t="shared" si="1"/>
        <v>25.971999999999987</v>
      </c>
      <c r="U55" s="2">
        <v>15.5</v>
      </c>
      <c r="V55" s="2">
        <v>0.1</v>
      </c>
      <c r="W55" s="2">
        <v>0.11</v>
      </c>
      <c r="X55" s="2">
        <v>0.03</v>
      </c>
      <c r="AA55" s="2">
        <f>CHOOSE(CalNseSrc_DataType,Cal_SF_ENR,'346'!R54,'346'!R54,'346'!R54,'346'!R54,'346'!R54,U55)</f>
        <v>12</v>
      </c>
      <c r="AB55" s="2">
        <f t="shared" si="0"/>
        <v>0.1</v>
      </c>
      <c r="AC55" s="2">
        <f>CHOOSE(CalNseSrc_DataType,CalSF_NSgamma,'346'!Q54,'346'!Q54,'346'!Q54,'346'!Q54,'346'!Q54,W55)</f>
        <v>0.22</v>
      </c>
      <c r="AD55" s="2">
        <f>CHOOSE(CalNseSrc_DataType,Cal_SF_GamCold,'346'!Q54,'346'!Q54,'346'!Q54,'346'!Q54,'346'!Q54,X55)</f>
        <v>0.12</v>
      </c>
    </row>
    <row r="56" spans="1:30">
      <c r="A56" s="11">
        <v>42000</v>
      </c>
      <c r="B56" s="11" t="s">
        <v>305</v>
      </c>
      <c r="C56" s="11">
        <v>15.5</v>
      </c>
      <c r="D56" s="29"/>
      <c r="E56" s="11">
        <v>0.1</v>
      </c>
      <c r="F56" s="11">
        <v>0.06</v>
      </c>
      <c r="G56" s="29">
        <v>30</v>
      </c>
      <c r="H56" s="11">
        <v>0.12</v>
      </c>
      <c r="I56" s="29">
        <v>60</v>
      </c>
      <c r="J56" s="20">
        <f t="shared" si="7"/>
        <v>1E-3</v>
      </c>
      <c r="K56" s="2">
        <f t="shared" si="8"/>
        <v>42</v>
      </c>
      <c r="L56" s="2">
        <f t="shared" si="9"/>
        <v>15.399999999999999</v>
      </c>
      <c r="M56" s="2">
        <f t="shared" si="10"/>
        <v>0</v>
      </c>
      <c r="N56" s="2">
        <f t="shared" si="12"/>
        <v>0</v>
      </c>
      <c r="O56" s="2">
        <f t="shared" si="13"/>
        <v>0</v>
      </c>
      <c r="P56" s="2">
        <f t="shared" si="14"/>
        <v>0</v>
      </c>
      <c r="Q56" s="2">
        <f t="shared" si="11"/>
        <v>0</v>
      </c>
      <c r="S56" s="2">
        <f t="shared" si="2"/>
        <v>51</v>
      </c>
      <c r="T56" s="2">
        <f t="shared" si="1"/>
        <v>26.499999999999986</v>
      </c>
      <c r="U56" s="2">
        <v>15.5</v>
      </c>
      <c r="V56" s="2">
        <v>0.1</v>
      </c>
      <c r="W56" s="2">
        <v>0.1</v>
      </c>
      <c r="X56" s="2">
        <v>0.04</v>
      </c>
      <c r="AA56" s="2">
        <f>CHOOSE(CalNseSrc_DataType,Cal_SF_ENR,'346'!R55,'346'!R55,'346'!R55,'346'!R55,'346'!R55,U56)</f>
        <v>12</v>
      </c>
      <c r="AB56" s="2">
        <f t="shared" si="0"/>
        <v>0.1</v>
      </c>
      <c r="AC56" s="2">
        <f>CHOOSE(CalNseSrc_DataType,CalSF_NSgamma,'346'!Q55,'346'!Q55,'346'!Q55,'346'!Q55,'346'!Q55,W56)</f>
        <v>0.22</v>
      </c>
      <c r="AD56" s="2">
        <f>CHOOSE(CalNseSrc_DataType,Cal_SF_GamCold,'346'!Q55,'346'!Q55,'346'!Q55,'346'!Q55,'346'!Q55,X56)</f>
        <v>0.12</v>
      </c>
    </row>
    <row r="57" spans="1:30">
      <c r="A57" s="11">
        <v>43000</v>
      </c>
      <c r="B57" s="11" t="s">
        <v>305</v>
      </c>
      <c r="C57" s="11">
        <v>15.1</v>
      </c>
      <c r="D57" s="29"/>
      <c r="E57" s="11">
        <v>0.1</v>
      </c>
      <c r="F57" s="11">
        <v>7.0000000000000007E-2</v>
      </c>
      <c r="G57" s="29">
        <v>30</v>
      </c>
      <c r="H57" s="11">
        <v>0.12</v>
      </c>
      <c r="I57" s="29">
        <v>60</v>
      </c>
      <c r="J57" s="20">
        <f t="shared" si="7"/>
        <v>1E-3</v>
      </c>
      <c r="K57" s="2">
        <f t="shared" si="8"/>
        <v>43</v>
      </c>
      <c r="L57" s="2">
        <f t="shared" si="9"/>
        <v>16.399999999999999</v>
      </c>
      <c r="M57" s="2">
        <f t="shared" si="10"/>
        <v>0</v>
      </c>
      <c r="N57" s="2">
        <f t="shared" si="12"/>
        <v>0</v>
      </c>
      <c r="O57" s="2">
        <f t="shared" si="13"/>
        <v>0</v>
      </c>
      <c r="P57" s="2">
        <f t="shared" si="14"/>
        <v>0</v>
      </c>
      <c r="Q57" s="2">
        <f t="shared" si="11"/>
        <v>0</v>
      </c>
      <c r="S57" s="2">
        <f t="shared" si="2"/>
        <v>52</v>
      </c>
      <c r="T57" s="2">
        <f t="shared" si="1"/>
        <v>26.5001</v>
      </c>
      <c r="U57" s="2">
        <v>15.5</v>
      </c>
      <c r="V57" s="2">
        <v>0.1</v>
      </c>
      <c r="W57" s="2">
        <v>0.1</v>
      </c>
      <c r="X57" s="2">
        <v>0.04</v>
      </c>
      <c r="AA57" s="2">
        <f>CHOOSE(CalNseSrc_DataType,Cal_SF_ENR,'346'!R56,'346'!R56,'346'!R56,'346'!R56,'346'!R56,U57)</f>
        <v>12</v>
      </c>
      <c r="AB57" s="2">
        <f t="shared" si="0"/>
        <v>0.1</v>
      </c>
      <c r="AC57" s="2">
        <f>CHOOSE(CalNseSrc_DataType,CalSF_NSgamma,'346'!Q56,'346'!Q56,'346'!Q56,'346'!Q56,'346'!Q56,W57)</f>
        <v>0.22</v>
      </c>
      <c r="AD57" s="2">
        <f>CHOOSE(CalNseSrc_DataType,Cal_SF_GamCold,'346'!Q56,'346'!Q56,'346'!Q56,'346'!Q56,'346'!Q56,X57)</f>
        <v>0.12</v>
      </c>
    </row>
    <row r="58" spans="1:30">
      <c r="A58" s="11">
        <v>44000</v>
      </c>
      <c r="B58" s="11" t="s">
        <v>305</v>
      </c>
      <c r="C58" s="11">
        <v>14.5</v>
      </c>
      <c r="D58" s="29"/>
      <c r="E58" s="11">
        <v>0.1</v>
      </c>
      <c r="F58" s="11">
        <v>0.08</v>
      </c>
      <c r="G58" s="29">
        <v>30</v>
      </c>
      <c r="H58" s="11">
        <v>0.13</v>
      </c>
      <c r="I58" s="29">
        <v>60</v>
      </c>
      <c r="J58" s="20">
        <f t="shared" si="7"/>
        <v>1E-3</v>
      </c>
      <c r="K58" s="2">
        <f t="shared" si="8"/>
        <v>44</v>
      </c>
      <c r="L58" s="2">
        <f t="shared" si="9"/>
        <v>17.399999999999999</v>
      </c>
      <c r="M58" s="2">
        <f t="shared" si="10"/>
        <v>0</v>
      </c>
      <c r="N58" s="2">
        <f t="shared" si="12"/>
        <v>0</v>
      </c>
      <c r="O58" s="2">
        <f t="shared" si="13"/>
        <v>0</v>
      </c>
      <c r="P58" s="2">
        <f t="shared" si="14"/>
        <v>0</v>
      </c>
      <c r="Q58" s="2">
        <f t="shared" si="11"/>
        <v>0</v>
      </c>
      <c r="S58" s="2">
        <f t="shared" si="2"/>
        <v>53</v>
      </c>
      <c r="T58" s="2">
        <f t="shared" si="1"/>
        <v>26.5001</v>
      </c>
      <c r="U58" s="2">
        <v>15.5</v>
      </c>
      <c r="V58" s="2">
        <v>0.1</v>
      </c>
      <c r="W58" s="2">
        <v>0.1</v>
      </c>
      <c r="X58" s="2">
        <v>0.04</v>
      </c>
      <c r="AA58" s="2">
        <f>CHOOSE(CalNseSrc_DataType,Cal_SF_ENR,'346'!R57,'346'!R57,'346'!R57,'346'!R57,'346'!R57,U58)</f>
        <v>12</v>
      </c>
      <c r="AB58" s="2">
        <f t="shared" si="0"/>
        <v>0.1</v>
      </c>
      <c r="AC58" s="2">
        <f>CHOOSE(CalNseSrc_DataType,CalSF_NSgamma,'346'!Q57,'346'!Q57,'346'!Q57,'346'!Q57,'346'!Q57,W58)</f>
        <v>0.22</v>
      </c>
      <c r="AD58" s="2">
        <f>CHOOSE(CalNseSrc_DataType,Cal_SF_GamCold,'346'!Q57,'346'!Q57,'346'!Q57,'346'!Q57,'346'!Q57,X58)</f>
        <v>0.12</v>
      </c>
    </row>
    <row r="59" spans="1:30">
      <c r="A59" s="11">
        <v>45000</v>
      </c>
      <c r="B59" s="11" t="s">
        <v>305</v>
      </c>
      <c r="C59" s="11">
        <v>13.7</v>
      </c>
      <c r="D59" s="29"/>
      <c r="E59" s="11">
        <v>0.1</v>
      </c>
      <c r="F59" s="11">
        <v>0.09</v>
      </c>
      <c r="G59" s="29">
        <v>30</v>
      </c>
      <c r="H59" s="11">
        <v>0.13</v>
      </c>
      <c r="I59" s="29">
        <v>60</v>
      </c>
      <c r="J59" s="20">
        <f t="shared" si="7"/>
        <v>1E-3</v>
      </c>
      <c r="K59" s="2">
        <f t="shared" si="8"/>
        <v>45</v>
      </c>
      <c r="L59" s="2">
        <f t="shared" si="9"/>
        <v>18.399999999999999</v>
      </c>
      <c r="M59" s="2">
        <f t="shared" si="10"/>
        <v>0</v>
      </c>
      <c r="N59" s="2">
        <f t="shared" si="12"/>
        <v>0</v>
      </c>
      <c r="O59" s="2">
        <f t="shared" si="13"/>
        <v>0</v>
      </c>
      <c r="P59" s="2">
        <f t="shared" si="14"/>
        <v>0</v>
      </c>
      <c r="Q59" s="2">
        <f t="shared" si="11"/>
        <v>0</v>
      </c>
      <c r="S59" s="2">
        <f t="shared" si="2"/>
        <v>54</v>
      </c>
      <c r="T59" s="2">
        <f t="shared" si="1"/>
        <v>26.5001</v>
      </c>
      <c r="U59" s="2">
        <v>15.5</v>
      </c>
      <c r="V59" s="2">
        <v>0.1</v>
      </c>
      <c r="W59" s="2">
        <v>0.1</v>
      </c>
      <c r="X59" s="2">
        <v>0.04</v>
      </c>
      <c r="AA59" s="2">
        <f>CHOOSE(CalNseSrc_DataType,Cal_SF_ENR,'346'!R58,'346'!R58,'346'!R58,'346'!R58,'346'!R58,U59)</f>
        <v>12</v>
      </c>
      <c r="AB59" s="2">
        <f t="shared" si="0"/>
        <v>0.1</v>
      </c>
      <c r="AC59" s="2">
        <f>CHOOSE(CalNseSrc_DataType,CalSF_NSgamma,'346'!Q58,'346'!Q58,'346'!Q58,'346'!Q58,'346'!Q58,W59)</f>
        <v>0.22</v>
      </c>
      <c r="AD59" s="2">
        <f>CHOOSE(CalNseSrc_DataType,Cal_SF_GamCold,'346'!Q58,'346'!Q58,'346'!Q58,'346'!Q58,'346'!Q58,X59)</f>
        <v>0.12</v>
      </c>
    </row>
    <row r="60" spans="1:30">
      <c r="A60" s="11">
        <v>46000</v>
      </c>
      <c r="B60" s="11" t="s">
        <v>305</v>
      </c>
      <c r="C60" s="11">
        <v>13.5</v>
      </c>
      <c r="D60" s="29"/>
      <c r="E60" s="11">
        <v>0.1</v>
      </c>
      <c r="F60" s="11">
        <v>0.1</v>
      </c>
      <c r="G60" s="29">
        <v>30</v>
      </c>
      <c r="H60" s="11">
        <v>0.13</v>
      </c>
      <c r="I60" s="29">
        <v>60</v>
      </c>
      <c r="J60" s="20">
        <f t="shared" si="7"/>
        <v>1E-3</v>
      </c>
      <c r="K60" s="2">
        <f t="shared" si="8"/>
        <v>46</v>
      </c>
      <c r="L60" s="2">
        <f t="shared" si="9"/>
        <v>19.399999999999999</v>
      </c>
      <c r="M60" s="2">
        <f t="shared" si="10"/>
        <v>0</v>
      </c>
      <c r="N60" s="2">
        <f t="shared" si="12"/>
        <v>0</v>
      </c>
      <c r="O60" s="2">
        <f t="shared" si="13"/>
        <v>0</v>
      </c>
      <c r="P60" s="2">
        <f t="shared" si="14"/>
        <v>0</v>
      </c>
      <c r="Q60" s="2">
        <f t="shared" si="11"/>
        <v>0</v>
      </c>
      <c r="S60" s="2">
        <f t="shared" si="2"/>
        <v>55</v>
      </c>
      <c r="T60" s="2">
        <f t="shared" si="1"/>
        <v>26.5001</v>
      </c>
      <c r="U60" s="2">
        <v>15.5</v>
      </c>
      <c r="V60" s="2">
        <v>0.1</v>
      </c>
      <c r="W60" s="2">
        <v>0.1</v>
      </c>
      <c r="X60" s="2">
        <v>0.04</v>
      </c>
      <c r="AA60" s="2">
        <f>CHOOSE(CalNseSrc_DataType,Cal_SF_ENR,'346'!R59,'346'!R59,'346'!R59,'346'!R59,'346'!R59,U60)</f>
        <v>12</v>
      </c>
      <c r="AB60" s="2">
        <f t="shared" si="0"/>
        <v>0.1</v>
      </c>
      <c r="AC60" s="2">
        <f>CHOOSE(CalNseSrc_DataType,CalSF_NSgamma,'346'!Q59,'346'!Q59,'346'!Q59,'346'!Q59,'346'!Q59,W60)</f>
        <v>0.22</v>
      </c>
      <c r="AD60" s="2">
        <f>CHOOSE(CalNseSrc_DataType,Cal_SF_GamCold,'346'!Q59,'346'!Q59,'346'!Q59,'346'!Q59,'346'!Q59,X60)</f>
        <v>0.12</v>
      </c>
    </row>
    <row r="61" spans="1:30">
      <c r="A61" s="11">
        <v>47000</v>
      </c>
      <c r="B61" s="11" t="s">
        <v>305</v>
      </c>
      <c r="C61" s="11">
        <v>13.5</v>
      </c>
      <c r="D61" s="29"/>
      <c r="E61" s="11">
        <v>0.1</v>
      </c>
      <c r="F61" s="11">
        <v>0.11</v>
      </c>
      <c r="G61" s="29">
        <v>30</v>
      </c>
      <c r="H61" s="11">
        <v>0.13</v>
      </c>
      <c r="I61" s="29">
        <v>60</v>
      </c>
      <c r="J61" s="20">
        <f t="shared" si="7"/>
        <v>1E-3</v>
      </c>
      <c r="K61" s="2">
        <f t="shared" si="8"/>
        <v>47</v>
      </c>
      <c r="L61" s="2">
        <f t="shared" si="9"/>
        <v>20.399999999999999</v>
      </c>
      <c r="M61" s="2">
        <f t="shared" si="10"/>
        <v>0</v>
      </c>
      <c r="N61" s="2">
        <f t="shared" si="12"/>
        <v>0</v>
      </c>
      <c r="O61" s="2">
        <f t="shared" si="13"/>
        <v>0</v>
      </c>
      <c r="P61" s="2">
        <f t="shared" si="14"/>
        <v>0</v>
      </c>
      <c r="Q61" s="2">
        <f t="shared" si="11"/>
        <v>0</v>
      </c>
      <c r="S61" s="2">
        <f t="shared" si="2"/>
        <v>56</v>
      </c>
      <c r="T61" s="2">
        <f t="shared" si="1"/>
        <v>26.5001</v>
      </c>
      <c r="U61" s="2">
        <v>15.5</v>
      </c>
      <c r="V61" s="2">
        <v>0.1</v>
      </c>
      <c r="W61" s="2">
        <v>0.1</v>
      </c>
      <c r="X61" s="2">
        <v>0.04</v>
      </c>
      <c r="AA61" s="2">
        <f>CHOOSE(CalNseSrc_DataType,Cal_SF_ENR,'346'!R60,'346'!R60,'346'!R60,'346'!R60,'346'!R60,U61)</f>
        <v>12</v>
      </c>
      <c r="AB61" s="2">
        <f t="shared" si="0"/>
        <v>0.1</v>
      </c>
      <c r="AC61" s="2">
        <f>CHOOSE(CalNseSrc_DataType,CalSF_NSgamma,'346'!Q60,'346'!Q60,'346'!Q60,'346'!Q60,'346'!Q60,W61)</f>
        <v>0.22</v>
      </c>
      <c r="AD61" s="2">
        <f>CHOOSE(CalNseSrc_DataType,Cal_SF_GamCold,'346'!Q60,'346'!Q60,'346'!Q60,'346'!Q60,'346'!Q60,X61)</f>
        <v>0.12</v>
      </c>
    </row>
    <row r="62" spans="1:30">
      <c r="A62" s="11">
        <v>48000</v>
      </c>
      <c r="B62" s="11" t="s">
        <v>305</v>
      </c>
      <c r="C62" s="11">
        <v>12.95</v>
      </c>
      <c r="D62" s="29"/>
      <c r="E62" s="11">
        <v>0.1</v>
      </c>
      <c r="F62" s="11">
        <v>0.12</v>
      </c>
      <c r="G62" s="29">
        <v>30</v>
      </c>
      <c r="H62" s="11">
        <v>0.14000000000000001</v>
      </c>
      <c r="I62" s="29">
        <v>60</v>
      </c>
      <c r="J62" s="20">
        <f t="shared" si="7"/>
        <v>1E-3</v>
      </c>
      <c r="K62" s="2">
        <f t="shared" si="8"/>
        <v>48</v>
      </c>
      <c r="L62" s="2">
        <f t="shared" si="9"/>
        <v>21.4</v>
      </c>
      <c r="M62" s="2">
        <f t="shared" si="10"/>
        <v>0</v>
      </c>
      <c r="N62" s="2">
        <f t="shared" si="12"/>
        <v>0</v>
      </c>
      <c r="O62" s="2">
        <f t="shared" si="13"/>
        <v>0</v>
      </c>
      <c r="P62" s="2">
        <f t="shared" si="14"/>
        <v>0</v>
      </c>
      <c r="Q62" s="2">
        <f t="shared" si="11"/>
        <v>0</v>
      </c>
      <c r="S62" s="2">
        <f t="shared" si="2"/>
        <v>57</v>
      </c>
      <c r="T62" s="2">
        <f t="shared" si="1"/>
        <v>26.5001</v>
      </c>
      <c r="U62" s="2">
        <v>15.5</v>
      </c>
      <c r="V62" s="2">
        <v>0.1</v>
      </c>
      <c r="W62" s="2">
        <v>0.1</v>
      </c>
      <c r="X62" s="2">
        <v>0.04</v>
      </c>
      <c r="AA62" s="2">
        <f>CHOOSE(CalNseSrc_DataType,Cal_SF_ENR,'346'!R61,'346'!R61,'346'!R61,'346'!R61,'346'!R61,U62)</f>
        <v>12</v>
      </c>
      <c r="AB62" s="2">
        <f t="shared" si="0"/>
        <v>0.1</v>
      </c>
      <c r="AC62" s="2">
        <f>CHOOSE(CalNseSrc_DataType,CalSF_NSgamma,'346'!Q61,'346'!Q61,'346'!Q61,'346'!Q61,'346'!Q61,W62)</f>
        <v>0.22</v>
      </c>
      <c r="AD62" s="2">
        <f>CHOOSE(CalNseSrc_DataType,Cal_SF_GamCold,'346'!Q61,'346'!Q61,'346'!Q61,'346'!Q61,'346'!Q61,X62)</f>
        <v>0.12</v>
      </c>
    </row>
    <row r="63" spans="1:30">
      <c r="A63" s="11">
        <v>49000</v>
      </c>
      <c r="B63" s="11" t="s">
        <v>305</v>
      </c>
      <c r="C63" s="11">
        <v>12.22</v>
      </c>
      <c r="D63" s="29"/>
      <c r="E63" s="11">
        <v>0.1</v>
      </c>
      <c r="F63" s="11">
        <v>0.13</v>
      </c>
      <c r="G63" s="29">
        <v>30</v>
      </c>
      <c r="H63" s="11">
        <v>0.14000000000000001</v>
      </c>
      <c r="I63" s="29">
        <v>60</v>
      </c>
      <c r="J63" s="20">
        <f t="shared" si="7"/>
        <v>1E-3</v>
      </c>
      <c r="K63" s="2">
        <f t="shared" si="8"/>
        <v>49</v>
      </c>
      <c r="L63" s="2">
        <f t="shared" si="9"/>
        <v>22.4</v>
      </c>
      <c r="M63" s="2">
        <f t="shared" si="10"/>
        <v>0</v>
      </c>
      <c r="N63" s="2">
        <f t="shared" si="12"/>
        <v>0</v>
      </c>
      <c r="O63" s="2">
        <f t="shared" si="13"/>
        <v>0</v>
      </c>
      <c r="P63" s="2">
        <f t="shared" si="14"/>
        <v>0</v>
      </c>
      <c r="Q63" s="2">
        <f t="shared" si="11"/>
        <v>0</v>
      </c>
      <c r="S63" s="2">
        <f t="shared" si="2"/>
        <v>58</v>
      </c>
      <c r="T63" s="2">
        <f t="shared" si="1"/>
        <v>26.5001</v>
      </c>
      <c r="U63" s="2">
        <v>15.5</v>
      </c>
      <c r="V63" s="2">
        <v>0.1</v>
      </c>
      <c r="W63" s="2">
        <v>0.1</v>
      </c>
      <c r="X63" s="2">
        <v>0.04</v>
      </c>
      <c r="AA63" s="2">
        <f>CHOOSE(CalNseSrc_DataType,Cal_SF_ENR,'346'!R62,'346'!R62,'346'!R62,'346'!R62,'346'!R62,U63)</f>
        <v>12</v>
      </c>
      <c r="AB63" s="2">
        <f t="shared" si="0"/>
        <v>0.1</v>
      </c>
      <c r="AC63" s="2">
        <f>CHOOSE(CalNseSrc_DataType,CalSF_NSgamma,'346'!Q62,'346'!Q62,'346'!Q62,'346'!Q62,'346'!Q62,W63)</f>
        <v>0.22</v>
      </c>
      <c r="AD63" s="2">
        <f>CHOOSE(CalNseSrc_DataType,Cal_SF_GamCold,'346'!Q62,'346'!Q62,'346'!Q62,'346'!Q62,'346'!Q62,X63)</f>
        <v>0.12</v>
      </c>
    </row>
    <row r="64" spans="1:30">
      <c r="A64" s="11">
        <v>50000</v>
      </c>
      <c r="B64" s="11" t="s">
        <v>305</v>
      </c>
      <c r="C64" s="11">
        <v>11.77</v>
      </c>
      <c r="D64" s="29"/>
      <c r="E64" s="11">
        <v>0.1</v>
      </c>
      <c r="F64" s="11">
        <v>0.14000000000000001</v>
      </c>
      <c r="G64" s="29">
        <v>30</v>
      </c>
      <c r="H64" s="11">
        <v>0.14000000000000001</v>
      </c>
      <c r="I64" s="29">
        <v>60</v>
      </c>
      <c r="J64" s="20">
        <f t="shared" si="7"/>
        <v>1E-3</v>
      </c>
      <c r="K64" s="2">
        <f t="shared" si="8"/>
        <v>50</v>
      </c>
      <c r="L64" s="2">
        <f t="shared" si="9"/>
        <v>23.4</v>
      </c>
      <c r="M64" s="2">
        <f t="shared" si="10"/>
        <v>0</v>
      </c>
      <c r="N64" s="2">
        <f t="shared" si="12"/>
        <v>0</v>
      </c>
      <c r="O64" s="2">
        <f t="shared" si="13"/>
        <v>0</v>
      </c>
      <c r="P64" s="2">
        <f t="shared" si="14"/>
        <v>0</v>
      </c>
      <c r="Q64" s="2">
        <f t="shared" si="11"/>
        <v>0</v>
      </c>
      <c r="S64" s="2">
        <f t="shared" si="2"/>
        <v>59</v>
      </c>
      <c r="T64" s="2">
        <f t="shared" si="1"/>
        <v>26.5001</v>
      </c>
      <c r="U64" s="2">
        <v>15.5</v>
      </c>
      <c r="V64" s="2">
        <v>0.1</v>
      </c>
      <c r="W64" s="2">
        <v>0.1</v>
      </c>
      <c r="X64" s="2">
        <v>0.04</v>
      </c>
      <c r="AA64" s="2">
        <f>CHOOSE(CalNseSrc_DataType,Cal_SF_ENR,'346'!R63,'346'!R63,'346'!R63,'346'!R63,'346'!R63,U64)</f>
        <v>12</v>
      </c>
      <c r="AB64" s="2">
        <f t="shared" si="0"/>
        <v>0.1</v>
      </c>
      <c r="AC64" s="2">
        <f>CHOOSE(CalNseSrc_DataType,CalSF_NSgamma,'346'!Q63,'346'!Q63,'346'!Q63,'346'!Q63,'346'!Q63,W64)</f>
        <v>0.22</v>
      </c>
      <c r="AD64" s="2">
        <f>CHOOSE(CalNseSrc_DataType,Cal_SF_GamCold,'346'!Q63,'346'!Q63,'346'!Q63,'346'!Q63,'346'!Q63,X64)</f>
        <v>0.12</v>
      </c>
    </row>
    <row r="65" spans="1:30">
      <c r="A65" s="11">
        <v>0</v>
      </c>
      <c r="B65" s="11" t="s">
        <v>0</v>
      </c>
      <c r="C65" s="11">
        <v>0</v>
      </c>
      <c r="D65" s="29"/>
      <c r="E65" s="11">
        <v>0</v>
      </c>
      <c r="F65" s="11">
        <v>0</v>
      </c>
      <c r="G65" s="29">
        <v>0</v>
      </c>
      <c r="H65" s="11">
        <v>0</v>
      </c>
      <c r="I65" s="29">
        <v>0</v>
      </c>
      <c r="J65" s="20">
        <f t="shared" si="7"/>
        <v>1.0000000000000001E-9</v>
      </c>
      <c r="K65" s="2">
        <f t="shared" si="8"/>
        <v>1000</v>
      </c>
      <c r="L65" s="2">
        <f t="shared" si="9"/>
        <v>973.4</v>
      </c>
      <c r="M65" s="2">
        <f t="shared" si="10"/>
        <v>0</v>
      </c>
      <c r="N65" s="2">
        <f t="shared" si="12"/>
        <v>0</v>
      </c>
      <c r="O65" s="2">
        <f t="shared" si="13"/>
        <v>0</v>
      </c>
      <c r="P65" s="2">
        <f t="shared" si="14"/>
        <v>0</v>
      </c>
      <c r="Q65" s="2">
        <f t="shared" si="11"/>
        <v>0</v>
      </c>
      <c r="S65" s="2">
        <f t="shared" si="2"/>
        <v>60</v>
      </c>
      <c r="T65" s="2">
        <f t="shared" si="1"/>
        <v>26.5001</v>
      </c>
      <c r="U65" s="2">
        <v>15.5</v>
      </c>
      <c r="V65" s="2">
        <v>0.1</v>
      </c>
      <c r="W65" s="2">
        <v>0.1</v>
      </c>
      <c r="X65" s="2">
        <v>0.04</v>
      </c>
      <c r="AA65" s="2">
        <f>CHOOSE(CalNseSrc_DataType,Cal_SF_ENR,'346'!R64,'346'!R64,'346'!R64,'346'!R64,'346'!R64,U65)</f>
        <v>12</v>
      </c>
      <c r="AB65" s="2">
        <f t="shared" si="0"/>
        <v>0.1</v>
      </c>
      <c r="AC65" s="2">
        <f>CHOOSE(CalNseSrc_DataType,CalSF_NSgamma,'346'!Q64,'346'!Q64,'346'!Q64,'346'!Q64,'346'!Q64,W65)</f>
        <v>0.22</v>
      </c>
      <c r="AD65" s="2">
        <f>CHOOSE(CalNseSrc_DataType,Cal_SF_GamCold,'346'!Q64,'346'!Q64,'346'!Q64,'346'!Q64,'346'!Q64,X65)</f>
        <v>0.12</v>
      </c>
    </row>
    <row r="66" spans="1:30">
      <c r="A66" s="11">
        <v>0</v>
      </c>
      <c r="B66" s="11" t="s">
        <v>0</v>
      </c>
      <c r="C66" s="11">
        <v>0</v>
      </c>
      <c r="D66" s="29"/>
      <c r="E66" s="11">
        <v>0</v>
      </c>
      <c r="F66" s="11">
        <v>0</v>
      </c>
      <c r="G66" s="29">
        <v>0</v>
      </c>
      <c r="H66" s="11">
        <v>0</v>
      </c>
      <c r="I66" s="29">
        <v>0</v>
      </c>
      <c r="J66" s="20">
        <f t="shared" si="7"/>
        <v>1.0000000000000001E-9</v>
      </c>
      <c r="K66" s="2">
        <f t="shared" si="8"/>
        <v>1000</v>
      </c>
      <c r="L66" s="2">
        <f t="shared" si="9"/>
        <v>973.4</v>
      </c>
      <c r="M66" s="2">
        <f t="shared" si="10"/>
        <v>0</v>
      </c>
      <c r="N66" s="2">
        <f t="shared" ref="N66:N102" si="15">$M66*C66</f>
        <v>0</v>
      </c>
      <c r="O66" s="2">
        <f t="shared" ref="O66:O102" si="16">$M66*E66</f>
        <v>0</v>
      </c>
      <c r="P66" s="2">
        <f t="shared" ref="P66:P102" si="17">$M66*F66</f>
        <v>0</v>
      </c>
      <c r="Q66" s="2">
        <f t="shared" ref="Q66:Q102" si="18">$M66*H66</f>
        <v>0</v>
      </c>
      <c r="S66" s="2">
        <f t="shared" si="2"/>
        <v>61</v>
      </c>
      <c r="T66" s="2">
        <f t="shared" si="1"/>
        <v>26.5001</v>
      </c>
      <c r="U66" s="2">
        <v>15.5</v>
      </c>
      <c r="V66" s="2">
        <v>0.1</v>
      </c>
      <c r="W66" s="2">
        <v>0.1</v>
      </c>
      <c r="X66" s="2">
        <v>0.04</v>
      </c>
      <c r="AA66" s="2">
        <f>CHOOSE(CalNseSrc_DataType,Cal_SF_ENR,'346'!R65,'346'!R65,'346'!R65,'346'!R65,'346'!R65,U66)</f>
        <v>12</v>
      </c>
      <c r="AB66" s="2">
        <f t="shared" si="0"/>
        <v>0.1</v>
      </c>
      <c r="AC66" s="2">
        <f>CHOOSE(CalNseSrc_DataType,CalSF_NSgamma,'346'!Q65,'346'!Q65,'346'!Q65,'346'!Q65,'346'!Q65,W66)</f>
        <v>0.22</v>
      </c>
      <c r="AD66" s="2">
        <f>CHOOSE(CalNseSrc_DataType,Cal_SF_GamCold,'346'!Q65,'346'!Q65,'346'!Q65,'346'!Q65,'346'!Q65,X66)</f>
        <v>0.12</v>
      </c>
    </row>
    <row r="67" spans="1:30">
      <c r="A67" s="11">
        <v>0</v>
      </c>
      <c r="B67" s="11" t="s">
        <v>0</v>
      </c>
      <c r="C67" s="11">
        <v>0</v>
      </c>
      <c r="D67" s="29"/>
      <c r="E67" s="11">
        <v>0</v>
      </c>
      <c r="F67" s="11">
        <v>0</v>
      </c>
      <c r="G67" s="29">
        <v>0</v>
      </c>
      <c r="H67" s="11">
        <v>0</v>
      </c>
      <c r="I67" s="29">
        <v>0</v>
      </c>
      <c r="J67" s="20">
        <f t="shared" si="7"/>
        <v>1.0000000000000001E-9</v>
      </c>
      <c r="K67" s="2">
        <f t="shared" si="8"/>
        <v>1000</v>
      </c>
      <c r="L67" s="2">
        <f t="shared" si="9"/>
        <v>973.4</v>
      </c>
      <c r="M67" s="2">
        <f t="shared" si="10"/>
        <v>0</v>
      </c>
      <c r="N67" s="2">
        <f t="shared" si="15"/>
        <v>0</v>
      </c>
      <c r="O67" s="2">
        <f t="shared" si="16"/>
        <v>0</v>
      </c>
      <c r="P67" s="2">
        <f t="shared" si="17"/>
        <v>0</v>
      </c>
      <c r="Q67" s="2">
        <f t="shared" si="18"/>
        <v>0</v>
      </c>
      <c r="S67" s="2">
        <f t="shared" si="2"/>
        <v>62</v>
      </c>
      <c r="T67" s="2">
        <f t="shared" si="1"/>
        <v>26.5001</v>
      </c>
      <c r="U67" s="2">
        <v>15.5</v>
      </c>
      <c r="V67" s="2">
        <v>0.1</v>
      </c>
      <c r="W67" s="2">
        <v>0.1</v>
      </c>
      <c r="X67" s="2">
        <v>0.04</v>
      </c>
      <c r="AA67" s="2">
        <f>CHOOSE(CalNseSrc_DataType,Cal_SF_ENR,'346'!R66,'346'!R66,'346'!R66,'346'!R66,'346'!R66,U67)</f>
        <v>12</v>
      </c>
      <c r="AB67" s="2">
        <f t="shared" si="0"/>
        <v>0.1</v>
      </c>
      <c r="AC67" s="2">
        <f>CHOOSE(CalNseSrc_DataType,CalSF_NSgamma,'346'!Q66,'346'!Q66,'346'!Q66,'346'!Q66,'346'!Q66,W67)</f>
        <v>0.22</v>
      </c>
      <c r="AD67" s="2">
        <f>CHOOSE(CalNseSrc_DataType,Cal_SF_GamCold,'346'!Q66,'346'!Q66,'346'!Q66,'346'!Q66,'346'!Q66,X67)</f>
        <v>0.12</v>
      </c>
    </row>
    <row r="68" spans="1:30">
      <c r="A68" s="11">
        <v>0</v>
      </c>
      <c r="B68" s="11" t="s">
        <v>0</v>
      </c>
      <c r="C68" s="11">
        <v>0</v>
      </c>
      <c r="D68" s="29"/>
      <c r="E68" s="11">
        <v>0</v>
      </c>
      <c r="F68" s="11">
        <v>0</v>
      </c>
      <c r="G68" s="29">
        <v>0</v>
      </c>
      <c r="H68" s="11">
        <v>0</v>
      </c>
      <c r="I68" s="29">
        <v>0</v>
      </c>
      <c r="J68" s="20">
        <f t="shared" si="7"/>
        <v>1.0000000000000001E-9</v>
      </c>
      <c r="K68" s="2">
        <f t="shared" si="8"/>
        <v>1000</v>
      </c>
      <c r="L68" s="2">
        <f t="shared" si="9"/>
        <v>973.4</v>
      </c>
      <c r="M68" s="2">
        <f t="shared" si="10"/>
        <v>0</v>
      </c>
      <c r="N68" s="2">
        <f t="shared" si="15"/>
        <v>0</v>
      </c>
      <c r="O68" s="2">
        <f t="shared" si="16"/>
        <v>0</v>
      </c>
      <c r="P68" s="2">
        <f t="shared" si="17"/>
        <v>0</v>
      </c>
      <c r="Q68" s="2">
        <f t="shared" si="18"/>
        <v>0</v>
      </c>
      <c r="S68" s="2">
        <f t="shared" si="2"/>
        <v>63</v>
      </c>
      <c r="T68" s="2">
        <f t="shared" si="1"/>
        <v>26.5001</v>
      </c>
      <c r="U68" s="2">
        <v>15.5</v>
      </c>
      <c r="V68" s="2">
        <v>0.1</v>
      </c>
      <c r="W68" s="2">
        <v>0.1</v>
      </c>
      <c r="X68" s="2">
        <v>0.04</v>
      </c>
      <c r="AA68" s="2">
        <f>CHOOSE(CalNseSrc_DataType,Cal_SF_ENR,'346'!R67,'346'!R67,'346'!R67,'346'!R67,'346'!R67,U68)</f>
        <v>12</v>
      </c>
      <c r="AB68" s="2">
        <f t="shared" si="0"/>
        <v>0.1</v>
      </c>
      <c r="AC68" s="2">
        <f>CHOOSE(CalNseSrc_DataType,CalSF_NSgamma,'346'!Q67,'346'!Q67,'346'!Q67,'346'!Q67,'346'!Q67,W68)</f>
        <v>0.22</v>
      </c>
      <c r="AD68" s="2">
        <f>CHOOSE(CalNseSrc_DataType,Cal_SF_GamCold,'346'!Q67,'346'!Q67,'346'!Q67,'346'!Q67,'346'!Q67,X68)</f>
        <v>0.12</v>
      </c>
    </row>
    <row r="69" spans="1:30">
      <c r="A69" s="11">
        <v>0</v>
      </c>
      <c r="B69" s="11" t="s">
        <v>0</v>
      </c>
      <c r="C69" s="11">
        <v>0</v>
      </c>
      <c r="D69" s="29"/>
      <c r="E69" s="11">
        <v>0</v>
      </c>
      <c r="F69" s="11">
        <v>0</v>
      </c>
      <c r="G69" s="29">
        <v>0</v>
      </c>
      <c r="H69" s="11">
        <v>0</v>
      </c>
      <c r="I69" s="29">
        <v>0</v>
      </c>
      <c r="J69" s="20">
        <f t="shared" si="7"/>
        <v>1.0000000000000001E-9</v>
      </c>
      <c r="K69" s="2">
        <f t="shared" si="8"/>
        <v>1000</v>
      </c>
      <c r="L69" s="2">
        <f t="shared" si="9"/>
        <v>973.4</v>
      </c>
      <c r="M69" s="2">
        <f t="shared" si="10"/>
        <v>0</v>
      </c>
      <c r="N69" s="2">
        <f t="shared" si="15"/>
        <v>0</v>
      </c>
      <c r="O69" s="2">
        <f t="shared" si="16"/>
        <v>0</v>
      </c>
      <c r="P69" s="2">
        <f t="shared" si="17"/>
        <v>0</v>
      </c>
      <c r="Q69" s="2">
        <f t="shared" si="18"/>
        <v>0</v>
      </c>
      <c r="S69" s="2">
        <f t="shared" si="2"/>
        <v>64</v>
      </c>
      <c r="T69" s="2">
        <f t="shared" si="1"/>
        <v>26.5001</v>
      </c>
      <c r="U69" s="2">
        <v>15.5</v>
      </c>
      <c r="V69" s="2">
        <v>0.1</v>
      </c>
      <c r="W69" s="2">
        <v>0.1</v>
      </c>
      <c r="X69" s="2">
        <v>0.04</v>
      </c>
      <c r="AA69" s="2">
        <f>CHOOSE(CalNseSrc_DataType,Cal_SF_ENR,'346'!R68,'346'!R68,'346'!R68,'346'!R68,'346'!R68,U69)</f>
        <v>12</v>
      </c>
      <c r="AB69" s="2">
        <f t="shared" si="0"/>
        <v>0.1</v>
      </c>
      <c r="AC69" s="2">
        <f>CHOOSE(CalNseSrc_DataType,CalSF_NSgamma,'346'!Q68,'346'!Q68,'346'!Q68,'346'!Q68,'346'!Q68,W69)</f>
        <v>0.22</v>
      </c>
      <c r="AD69" s="2">
        <f>CHOOSE(CalNseSrc_DataType,Cal_SF_GamCold,'346'!Q68,'346'!Q68,'346'!Q68,'346'!Q68,'346'!Q68,X69)</f>
        <v>0.12</v>
      </c>
    </row>
    <row r="70" spans="1:30">
      <c r="A70" s="11">
        <v>0</v>
      </c>
      <c r="B70" s="11" t="s">
        <v>0</v>
      </c>
      <c r="C70" s="11">
        <v>0</v>
      </c>
      <c r="D70" s="29"/>
      <c r="E70" s="11">
        <v>0</v>
      </c>
      <c r="F70" s="11">
        <v>0</v>
      </c>
      <c r="G70" s="29">
        <v>0</v>
      </c>
      <c r="H70" s="11">
        <v>0</v>
      </c>
      <c r="I70" s="29">
        <v>0</v>
      </c>
      <c r="J70" s="20">
        <f t="shared" si="7"/>
        <v>1.0000000000000001E-9</v>
      </c>
      <c r="K70" s="2">
        <f t="shared" si="8"/>
        <v>1000</v>
      </c>
      <c r="L70" s="2">
        <f t="shared" si="9"/>
        <v>973.4</v>
      </c>
      <c r="M70" s="2">
        <f t="shared" si="10"/>
        <v>0</v>
      </c>
      <c r="N70" s="2">
        <f t="shared" si="15"/>
        <v>0</v>
      </c>
      <c r="O70" s="2">
        <f t="shared" si="16"/>
        <v>0</v>
      </c>
      <c r="P70" s="2">
        <f t="shared" si="17"/>
        <v>0</v>
      </c>
      <c r="Q70" s="2">
        <f t="shared" si="18"/>
        <v>0</v>
      </c>
      <c r="S70" s="2">
        <f t="shared" si="2"/>
        <v>65</v>
      </c>
      <c r="T70" s="2">
        <f t="shared" si="1"/>
        <v>26.5001</v>
      </c>
      <c r="U70" s="2">
        <v>15.5</v>
      </c>
      <c r="V70" s="2">
        <v>0.1</v>
      </c>
      <c r="W70" s="2">
        <v>0.1</v>
      </c>
      <c r="X70" s="2">
        <v>0.04</v>
      </c>
      <c r="AA70" s="2">
        <f>CHOOSE(CalNseSrc_DataType,Cal_SF_ENR,'346'!R69,'346'!R69,'346'!R69,'346'!R69,'346'!R69,U70)</f>
        <v>12</v>
      </c>
      <c r="AB70" s="2">
        <f t="shared" ref="AB70:AB107" si="19">CHOOSE(ENRU_DataType,SF_ENRU,V70)</f>
        <v>0.1</v>
      </c>
      <c r="AC70" s="2">
        <f>CHOOSE(CalNseSrc_DataType,CalSF_NSgamma,'346'!Q69,'346'!Q69,'346'!Q69,'346'!Q69,'346'!Q69,W70)</f>
        <v>0.22</v>
      </c>
      <c r="AD70" s="2">
        <f>CHOOSE(CalNseSrc_DataType,Cal_SF_GamCold,'346'!Q69,'346'!Q69,'346'!Q69,'346'!Q69,'346'!Q69,X70)</f>
        <v>0.12</v>
      </c>
    </row>
    <row r="71" spans="1:30">
      <c r="A71" s="11">
        <v>0</v>
      </c>
      <c r="B71" s="11" t="s">
        <v>0</v>
      </c>
      <c r="C71" s="11">
        <v>0</v>
      </c>
      <c r="D71" s="29"/>
      <c r="E71" s="11">
        <v>0</v>
      </c>
      <c r="F71" s="11">
        <v>0</v>
      </c>
      <c r="G71" s="29">
        <v>0</v>
      </c>
      <c r="H71" s="11">
        <v>0</v>
      </c>
      <c r="I71" s="29">
        <v>0</v>
      </c>
      <c r="J71" s="20">
        <f t="shared" si="7"/>
        <v>1.0000000000000001E-9</v>
      </c>
      <c r="K71" s="2">
        <f t="shared" si="8"/>
        <v>1000</v>
      </c>
      <c r="L71" s="2">
        <f t="shared" si="9"/>
        <v>973.4</v>
      </c>
      <c r="M71" s="2">
        <f t="shared" si="10"/>
        <v>0</v>
      </c>
      <c r="N71" s="2">
        <f t="shared" si="15"/>
        <v>0</v>
      </c>
      <c r="O71" s="2">
        <f t="shared" si="16"/>
        <v>0</v>
      </c>
      <c r="P71" s="2">
        <f t="shared" si="17"/>
        <v>0</v>
      </c>
      <c r="Q71" s="2">
        <f t="shared" si="18"/>
        <v>0</v>
      </c>
      <c r="S71" s="2">
        <f t="shared" si="2"/>
        <v>66</v>
      </c>
      <c r="T71" s="2">
        <f t="shared" ref="T71:T107" si="20">IF($S$4&gt;=0,IF(T70&gt;=$S$5,$S$5+0.0001,T70+$S$4),IF(T70&lt;=$S$5,$S$5-0.0001,T70+$S$4))</f>
        <v>26.5001</v>
      </c>
      <c r="U71" s="2">
        <v>15.5</v>
      </c>
      <c r="V71" s="2">
        <v>0.1</v>
      </c>
      <c r="W71" s="2">
        <v>0.1</v>
      </c>
      <c r="X71" s="2">
        <v>0.04</v>
      </c>
      <c r="AA71" s="2">
        <f>CHOOSE(CalNseSrc_DataType,Cal_SF_ENR,'346'!R70,'346'!R70,'346'!R70,'346'!R70,'346'!R70,U71)</f>
        <v>12</v>
      </c>
      <c r="AB71" s="2">
        <f t="shared" si="19"/>
        <v>0.1</v>
      </c>
      <c r="AC71" s="2">
        <f>CHOOSE(CalNseSrc_DataType,CalSF_NSgamma,'346'!Q70,'346'!Q70,'346'!Q70,'346'!Q70,'346'!Q70,W71)</f>
        <v>0.22</v>
      </c>
      <c r="AD71" s="2">
        <f>CHOOSE(CalNseSrc_DataType,Cal_SF_GamCold,'346'!Q70,'346'!Q70,'346'!Q70,'346'!Q70,'346'!Q70,X71)</f>
        <v>0.12</v>
      </c>
    </row>
    <row r="72" spans="1:30">
      <c r="A72" s="11">
        <v>0</v>
      </c>
      <c r="B72" s="11" t="s">
        <v>0</v>
      </c>
      <c r="C72" s="11">
        <v>0</v>
      </c>
      <c r="D72" s="29"/>
      <c r="E72" s="11">
        <v>0</v>
      </c>
      <c r="F72" s="11">
        <v>0</v>
      </c>
      <c r="G72" s="29">
        <v>0</v>
      </c>
      <c r="H72" s="11">
        <v>0</v>
      </c>
      <c r="I72" s="29">
        <v>0</v>
      </c>
      <c r="J72" s="20">
        <f t="shared" si="7"/>
        <v>1.0000000000000001E-9</v>
      </c>
      <c r="K72" s="2">
        <f t="shared" si="8"/>
        <v>1000</v>
      </c>
      <c r="L72" s="2">
        <f t="shared" si="9"/>
        <v>973.4</v>
      </c>
      <c r="M72" s="2">
        <f t="shared" si="10"/>
        <v>0</v>
      </c>
      <c r="N72" s="2">
        <f t="shared" si="15"/>
        <v>0</v>
      </c>
      <c r="O72" s="2">
        <f t="shared" si="16"/>
        <v>0</v>
      </c>
      <c r="P72" s="2">
        <f t="shared" si="17"/>
        <v>0</v>
      </c>
      <c r="Q72" s="2">
        <f t="shared" si="18"/>
        <v>0</v>
      </c>
      <c r="S72" s="2">
        <f t="shared" ref="S72:S107" si="21">1+S71</f>
        <v>67</v>
      </c>
      <c r="T72" s="2">
        <f t="shared" si="20"/>
        <v>26.5001</v>
      </c>
      <c r="U72" s="2">
        <v>15.5</v>
      </c>
      <c r="V72" s="2">
        <v>0.1</v>
      </c>
      <c r="W72" s="2">
        <v>0.1</v>
      </c>
      <c r="X72" s="2">
        <v>0.04</v>
      </c>
      <c r="AA72" s="2">
        <f>CHOOSE(CalNseSrc_DataType,Cal_SF_ENR,'346'!R71,'346'!R71,'346'!R71,'346'!R71,'346'!R71,U72)</f>
        <v>12</v>
      </c>
      <c r="AB72" s="2">
        <f t="shared" si="19"/>
        <v>0.1</v>
      </c>
      <c r="AC72" s="2">
        <f>CHOOSE(CalNseSrc_DataType,CalSF_NSgamma,'346'!Q71,'346'!Q71,'346'!Q71,'346'!Q71,'346'!Q71,W72)</f>
        <v>0.22</v>
      </c>
      <c r="AD72" s="2">
        <f>CHOOSE(CalNseSrc_DataType,Cal_SF_GamCold,'346'!Q71,'346'!Q71,'346'!Q71,'346'!Q71,'346'!Q71,X72)</f>
        <v>0.12</v>
      </c>
    </row>
    <row r="73" spans="1:30">
      <c r="A73" s="11">
        <v>0</v>
      </c>
      <c r="B73" s="11" t="s">
        <v>0</v>
      </c>
      <c r="C73" s="11">
        <v>0</v>
      </c>
      <c r="D73" s="29"/>
      <c r="E73" s="11">
        <v>0</v>
      </c>
      <c r="F73" s="11">
        <v>0</v>
      </c>
      <c r="G73" s="29">
        <v>0</v>
      </c>
      <c r="H73" s="11">
        <v>0</v>
      </c>
      <c r="I73" s="29">
        <v>0</v>
      </c>
      <c r="J73" s="20">
        <f t="shared" si="7"/>
        <v>1.0000000000000001E-9</v>
      </c>
      <c r="K73" s="2">
        <f t="shared" si="8"/>
        <v>1000</v>
      </c>
      <c r="L73" s="2">
        <f t="shared" si="9"/>
        <v>973.4</v>
      </c>
      <c r="M73" s="2">
        <f t="shared" si="10"/>
        <v>0</v>
      </c>
      <c r="N73" s="2">
        <f t="shared" si="15"/>
        <v>0</v>
      </c>
      <c r="O73" s="2">
        <f t="shared" si="16"/>
        <v>0</v>
      </c>
      <c r="P73" s="2">
        <f t="shared" si="17"/>
        <v>0</v>
      </c>
      <c r="Q73" s="2">
        <f t="shared" si="18"/>
        <v>0</v>
      </c>
      <c r="S73" s="2">
        <f t="shared" si="21"/>
        <v>68</v>
      </c>
      <c r="T73" s="2">
        <f t="shared" si="20"/>
        <v>26.5001</v>
      </c>
      <c r="U73" s="2">
        <v>15.5</v>
      </c>
      <c r="V73" s="2">
        <v>0.1</v>
      </c>
      <c r="W73" s="2">
        <v>0.1</v>
      </c>
      <c r="X73" s="2">
        <v>0.04</v>
      </c>
      <c r="AA73" s="2">
        <f>CHOOSE(CalNseSrc_DataType,Cal_SF_ENR,'346'!R72,'346'!R72,'346'!R72,'346'!R72,'346'!R72,U73)</f>
        <v>12</v>
      </c>
      <c r="AB73" s="2">
        <f t="shared" si="19"/>
        <v>0.1</v>
      </c>
      <c r="AC73" s="2">
        <f>CHOOSE(CalNseSrc_DataType,CalSF_NSgamma,'346'!Q72,'346'!Q72,'346'!Q72,'346'!Q72,'346'!Q72,W73)</f>
        <v>0.22</v>
      </c>
      <c r="AD73" s="2">
        <f>CHOOSE(CalNseSrc_DataType,Cal_SF_GamCold,'346'!Q72,'346'!Q72,'346'!Q72,'346'!Q72,'346'!Q72,X73)</f>
        <v>0.12</v>
      </c>
    </row>
    <row r="74" spans="1:30">
      <c r="A74" s="11">
        <v>0</v>
      </c>
      <c r="B74" s="11" t="s">
        <v>0</v>
      </c>
      <c r="C74" s="11">
        <v>0</v>
      </c>
      <c r="D74" s="29"/>
      <c r="E74" s="11">
        <v>0</v>
      </c>
      <c r="F74" s="11">
        <v>0</v>
      </c>
      <c r="G74" s="29">
        <v>0</v>
      </c>
      <c r="H74" s="11">
        <v>0</v>
      </c>
      <c r="I74" s="29">
        <v>0</v>
      </c>
      <c r="J74" s="20">
        <f t="shared" si="7"/>
        <v>1.0000000000000001E-9</v>
      </c>
      <c r="K74" s="2">
        <f t="shared" si="8"/>
        <v>1000</v>
      </c>
      <c r="L74" s="2">
        <f t="shared" si="9"/>
        <v>973.4</v>
      </c>
      <c r="M74" s="2">
        <f t="shared" si="10"/>
        <v>0</v>
      </c>
      <c r="N74" s="2">
        <f t="shared" si="15"/>
        <v>0</v>
      </c>
      <c r="O74" s="2">
        <f t="shared" si="16"/>
        <v>0</v>
      </c>
      <c r="P74" s="2">
        <f t="shared" si="17"/>
        <v>0</v>
      </c>
      <c r="Q74" s="2">
        <f t="shared" si="18"/>
        <v>0</v>
      </c>
      <c r="S74" s="2">
        <f t="shared" si="21"/>
        <v>69</v>
      </c>
      <c r="T74" s="2">
        <f t="shared" si="20"/>
        <v>26.5001</v>
      </c>
      <c r="U74" s="2">
        <v>15.5</v>
      </c>
      <c r="V74" s="2">
        <v>0.1</v>
      </c>
      <c r="W74" s="2">
        <v>0.1</v>
      </c>
      <c r="X74" s="2">
        <v>0.04</v>
      </c>
      <c r="AA74" s="2">
        <f>CHOOSE(CalNseSrc_DataType,Cal_SF_ENR,'346'!R73,'346'!R73,'346'!R73,'346'!R73,'346'!R73,U74)</f>
        <v>12</v>
      </c>
      <c r="AB74" s="2">
        <f t="shared" si="19"/>
        <v>0.1</v>
      </c>
      <c r="AC74" s="2">
        <f>CHOOSE(CalNseSrc_DataType,CalSF_NSgamma,'346'!Q73,'346'!Q73,'346'!Q73,'346'!Q73,'346'!Q73,W74)</f>
        <v>0.22</v>
      </c>
      <c r="AD74" s="2">
        <f>CHOOSE(CalNseSrc_DataType,Cal_SF_GamCold,'346'!Q73,'346'!Q73,'346'!Q73,'346'!Q73,'346'!Q73,X74)</f>
        <v>0.12</v>
      </c>
    </row>
    <row r="75" spans="1:30">
      <c r="A75" s="11">
        <v>0</v>
      </c>
      <c r="B75" s="11" t="s">
        <v>0</v>
      </c>
      <c r="C75" s="11">
        <v>0</v>
      </c>
      <c r="D75" s="29"/>
      <c r="E75" s="11">
        <v>0</v>
      </c>
      <c r="F75" s="11">
        <v>0</v>
      </c>
      <c r="G75" s="29">
        <v>0</v>
      </c>
      <c r="H75" s="11">
        <v>0</v>
      </c>
      <c r="I75" s="29">
        <v>0</v>
      </c>
      <c r="J75" s="20">
        <f t="shared" si="7"/>
        <v>1.0000000000000001E-9</v>
      </c>
      <c r="K75" s="2">
        <f t="shared" si="8"/>
        <v>1000</v>
      </c>
      <c r="L75" s="2">
        <f t="shared" si="9"/>
        <v>973.4</v>
      </c>
      <c r="M75" s="2">
        <f t="shared" si="10"/>
        <v>0</v>
      </c>
      <c r="N75" s="2">
        <f t="shared" si="15"/>
        <v>0</v>
      </c>
      <c r="O75" s="2">
        <f t="shared" si="16"/>
        <v>0</v>
      </c>
      <c r="P75" s="2">
        <f t="shared" si="17"/>
        <v>0</v>
      </c>
      <c r="Q75" s="2">
        <f t="shared" si="18"/>
        <v>0</v>
      </c>
      <c r="S75" s="2">
        <f t="shared" si="21"/>
        <v>70</v>
      </c>
      <c r="T75" s="2">
        <f t="shared" si="20"/>
        <v>26.5001</v>
      </c>
      <c r="U75" s="2">
        <v>15.5</v>
      </c>
      <c r="V75" s="2">
        <v>0.1</v>
      </c>
      <c r="W75" s="2">
        <v>0.1</v>
      </c>
      <c r="X75" s="2">
        <v>0.04</v>
      </c>
      <c r="AA75" s="2">
        <f>CHOOSE(CalNseSrc_DataType,Cal_SF_ENR,'346'!R74,'346'!R74,'346'!R74,'346'!R74,'346'!R74,U75)</f>
        <v>12</v>
      </c>
      <c r="AB75" s="2">
        <f t="shared" si="19"/>
        <v>0.1</v>
      </c>
      <c r="AC75" s="2">
        <f>CHOOSE(CalNseSrc_DataType,CalSF_NSgamma,'346'!Q74,'346'!Q74,'346'!Q74,'346'!Q74,'346'!Q74,W75)</f>
        <v>0.22</v>
      </c>
      <c r="AD75" s="2">
        <f>CHOOSE(CalNseSrc_DataType,Cal_SF_GamCold,'346'!Q74,'346'!Q74,'346'!Q74,'346'!Q74,'346'!Q74,X75)</f>
        <v>0.12</v>
      </c>
    </row>
    <row r="76" spans="1:30">
      <c r="A76" s="11">
        <v>0</v>
      </c>
      <c r="B76" s="11" t="s">
        <v>0</v>
      </c>
      <c r="C76" s="11">
        <v>0</v>
      </c>
      <c r="D76" s="29"/>
      <c r="E76" s="11">
        <v>0</v>
      </c>
      <c r="F76" s="11">
        <v>0</v>
      </c>
      <c r="G76" s="29">
        <v>0</v>
      </c>
      <c r="H76" s="11">
        <v>0</v>
      </c>
      <c r="I76" s="29">
        <v>0</v>
      </c>
      <c r="J76" s="20">
        <f t="shared" si="7"/>
        <v>1.0000000000000001E-9</v>
      </c>
      <c r="K76" s="2">
        <f t="shared" si="8"/>
        <v>1000</v>
      </c>
      <c r="L76" s="2">
        <f t="shared" si="9"/>
        <v>973.4</v>
      </c>
      <c r="M76" s="2">
        <f t="shared" si="10"/>
        <v>0</v>
      </c>
      <c r="N76" s="2">
        <f t="shared" si="15"/>
        <v>0</v>
      </c>
      <c r="O76" s="2">
        <f t="shared" si="16"/>
        <v>0</v>
      </c>
      <c r="P76" s="2">
        <f t="shared" si="17"/>
        <v>0</v>
      </c>
      <c r="Q76" s="2">
        <f t="shared" si="18"/>
        <v>0</v>
      </c>
      <c r="S76" s="2">
        <f t="shared" si="21"/>
        <v>71</v>
      </c>
      <c r="T76" s="2">
        <f t="shared" si="20"/>
        <v>26.5001</v>
      </c>
      <c r="U76" s="2">
        <v>15.5</v>
      </c>
      <c r="V76" s="2">
        <v>0.1</v>
      </c>
      <c r="W76" s="2">
        <v>0.1</v>
      </c>
      <c r="X76" s="2">
        <v>0.04</v>
      </c>
      <c r="AA76" s="2">
        <f>CHOOSE(CalNseSrc_DataType,Cal_SF_ENR,'346'!R75,'346'!R75,'346'!R75,'346'!R75,'346'!R75,U76)</f>
        <v>12</v>
      </c>
      <c r="AB76" s="2">
        <f t="shared" si="19"/>
        <v>0.1</v>
      </c>
      <c r="AC76" s="2">
        <f>CHOOSE(CalNseSrc_DataType,CalSF_NSgamma,'346'!Q75,'346'!Q75,'346'!Q75,'346'!Q75,'346'!Q75,W76)</f>
        <v>0.22</v>
      </c>
      <c r="AD76" s="2">
        <f>CHOOSE(CalNseSrc_DataType,Cal_SF_GamCold,'346'!Q75,'346'!Q75,'346'!Q75,'346'!Q75,'346'!Q75,X76)</f>
        <v>0.12</v>
      </c>
    </row>
    <row r="77" spans="1:30">
      <c r="A77" s="11">
        <v>0</v>
      </c>
      <c r="B77" s="11" t="s">
        <v>0</v>
      </c>
      <c r="C77" s="11">
        <v>0</v>
      </c>
      <c r="D77" s="29"/>
      <c r="E77" s="11">
        <v>0</v>
      </c>
      <c r="F77" s="11">
        <v>0</v>
      </c>
      <c r="G77" s="29">
        <v>0</v>
      </c>
      <c r="H77" s="11">
        <v>0</v>
      </c>
      <c r="I77" s="29">
        <v>0</v>
      </c>
      <c r="J77" s="20">
        <f t="shared" ref="J77:J102" si="22">IF(UPPER(TRIM(B77))="MHZ",0.001,IF((UPPER(TRIM(B77)))="GHZ",1,IF(UPPER(TRIM(B77))="KHZ",0.000001,0.000000001)))</f>
        <v>1.0000000000000001E-9</v>
      </c>
      <c r="K77" s="2">
        <f t="shared" ref="K77:K102" si="23">IF(A77&gt;0,A77*J77,1000)</f>
        <v>1000</v>
      </c>
      <c r="L77" s="2">
        <f t="shared" ref="L77:L102" si="24">ABS(M$10-K77)</f>
        <v>973.4</v>
      </c>
      <c r="M77" s="2">
        <f t="shared" ref="M77:M102" si="25">IF(L77=L$10,1,0)</f>
        <v>0</v>
      </c>
      <c r="N77" s="2">
        <f t="shared" si="15"/>
        <v>0</v>
      </c>
      <c r="O77" s="2">
        <f t="shared" si="16"/>
        <v>0</v>
      </c>
      <c r="P77" s="2">
        <f t="shared" si="17"/>
        <v>0</v>
      </c>
      <c r="Q77" s="2">
        <f t="shared" si="18"/>
        <v>0</v>
      </c>
      <c r="S77" s="2">
        <f t="shared" si="21"/>
        <v>72</v>
      </c>
      <c r="T77" s="2">
        <f t="shared" si="20"/>
        <v>26.5001</v>
      </c>
      <c r="U77" s="2">
        <v>15.5</v>
      </c>
      <c r="V77" s="2">
        <v>0.1</v>
      </c>
      <c r="W77" s="2">
        <v>0.1</v>
      </c>
      <c r="X77" s="2">
        <v>0.04</v>
      </c>
      <c r="AA77" s="2">
        <f>CHOOSE(CalNseSrc_DataType,Cal_SF_ENR,'346'!R76,'346'!R76,'346'!R76,'346'!R76,'346'!R76,U77)</f>
        <v>12</v>
      </c>
      <c r="AB77" s="2">
        <f t="shared" si="19"/>
        <v>0.1</v>
      </c>
      <c r="AC77" s="2">
        <f>CHOOSE(CalNseSrc_DataType,CalSF_NSgamma,'346'!Q76,'346'!Q76,'346'!Q76,'346'!Q76,'346'!Q76,W77)</f>
        <v>0.22</v>
      </c>
      <c r="AD77" s="2">
        <f>CHOOSE(CalNseSrc_DataType,Cal_SF_GamCold,'346'!Q76,'346'!Q76,'346'!Q76,'346'!Q76,'346'!Q76,X77)</f>
        <v>0.12</v>
      </c>
    </row>
    <row r="78" spans="1:30">
      <c r="A78" s="11">
        <v>0</v>
      </c>
      <c r="B78" s="11" t="s">
        <v>0</v>
      </c>
      <c r="C78" s="11">
        <v>0</v>
      </c>
      <c r="D78" s="29"/>
      <c r="E78" s="11">
        <v>0</v>
      </c>
      <c r="F78" s="11">
        <v>0</v>
      </c>
      <c r="G78" s="29">
        <v>0</v>
      </c>
      <c r="H78" s="11">
        <v>0</v>
      </c>
      <c r="I78" s="29">
        <v>0</v>
      </c>
      <c r="J78" s="20">
        <f t="shared" si="22"/>
        <v>1.0000000000000001E-9</v>
      </c>
      <c r="K78" s="2">
        <f t="shared" si="23"/>
        <v>1000</v>
      </c>
      <c r="L78" s="2">
        <f t="shared" si="24"/>
        <v>973.4</v>
      </c>
      <c r="M78" s="2">
        <f t="shared" si="25"/>
        <v>0</v>
      </c>
      <c r="N78" s="2">
        <f t="shared" si="15"/>
        <v>0</v>
      </c>
      <c r="O78" s="2">
        <f t="shared" si="16"/>
        <v>0</v>
      </c>
      <c r="P78" s="2">
        <f t="shared" si="17"/>
        <v>0</v>
      </c>
      <c r="Q78" s="2">
        <f t="shared" si="18"/>
        <v>0</v>
      </c>
      <c r="S78" s="2">
        <f t="shared" si="21"/>
        <v>73</v>
      </c>
      <c r="T78" s="2">
        <f t="shared" si="20"/>
        <v>26.5001</v>
      </c>
      <c r="U78" s="2">
        <v>15.5</v>
      </c>
      <c r="V78" s="2">
        <v>0.1</v>
      </c>
      <c r="W78" s="2">
        <v>0.1</v>
      </c>
      <c r="X78" s="2">
        <v>0.04</v>
      </c>
      <c r="AA78" s="2">
        <f>CHOOSE(CalNseSrc_DataType,Cal_SF_ENR,'346'!R77,'346'!R77,'346'!R77,'346'!R77,'346'!R77,U78)</f>
        <v>12</v>
      </c>
      <c r="AB78" s="2">
        <f t="shared" si="19"/>
        <v>0.1</v>
      </c>
      <c r="AC78" s="2">
        <f>CHOOSE(CalNseSrc_DataType,CalSF_NSgamma,'346'!Q77,'346'!Q77,'346'!Q77,'346'!Q77,'346'!Q77,W78)</f>
        <v>0.22</v>
      </c>
      <c r="AD78" s="2">
        <f>CHOOSE(CalNseSrc_DataType,Cal_SF_GamCold,'346'!Q77,'346'!Q77,'346'!Q77,'346'!Q77,'346'!Q77,X78)</f>
        <v>0.12</v>
      </c>
    </row>
    <row r="79" spans="1:30">
      <c r="A79" s="11">
        <v>0</v>
      </c>
      <c r="B79" s="11" t="s">
        <v>0</v>
      </c>
      <c r="C79" s="11">
        <v>0</v>
      </c>
      <c r="D79" s="29"/>
      <c r="E79" s="11">
        <v>0</v>
      </c>
      <c r="F79" s="11">
        <v>0</v>
      </c>
      <c r="G79" s="29">
        <v>0</v>
      </c>
      <c r="H79" s="11">
        <v>0</v>
      </c>
      <c r="I79" s="29">
        <v>0</v>
      </c>
      <c r="J79" s="20">
        <f t="shared" si="22"/>
        <v>1.0000000000000001E-9</v>
      </c>
      <c r="K79" s="2">
        <f t="shared" si="23"/>
        <v>1000</v>
      </c>
      <c r="L79" s="2">
        <f t="shared" si="24"/>
        <v>973.4</v>
      </c>
      <c r="M79" s="2">
        <f t="shared" si="25"/>
        <v>0</v>
      </c>
      <c r="N79" s="2">
        <f t="shared" si="15"/>
        <v>0</v>
      </c>
      <c r="O79" s="2">
        <f t="shared" si="16"/>
        <v>0</v>
      </c>
      <c r="P79" s="2">
        <f t="shared" si="17"/>
        <v>0</v>
      </c>
      <c r="Q79" s="2">
        <f t="shared" si="18"/>
        <v>0</v>
      </c>
      <c r="S79" s="2">
        <f t="shared" si="21"/>
        <v>74</v>
      </c>
      <c r="T79" s="2">
        <f t="shared" si="20"/>
        <v>26.5001</v>
      </c>
      <c r="U79" s="2">
        <v>15.5</v>
      </c>
      <c r="V79" s="2">
        <v>0.1</v>
      </c>
      <c r="W79" s="2">
        <v>0.1</v>
      </c>
      <c r="X79" s="2">
        <v>0.04</v>
      </c>
      <c r="AA79" s="2">
        <f>CHOOSE(CalNseSrc_DataType,Cal_SF_ENR,'346'!R78,'346'!R78,'346'!R78,'346'!R78,'346'!R78,U79)</f>
        <v>12</v>
      </c>
      <c r="AB79" s="2">
        <f t="shared" si="19"/>
        <v>0.1</v>
      </c>
      <c r="AC79" s="2">
        <f>CHOOSE(CalNseSrc_DataType,CalSF_NSgamma,'346'!Q78,'346'!Q78,'346'!Q78,'346'!Q78,'346'!Q78,W79)</f>
        <v>0.22</v>
      </c>
      <c r="AD79" s="2">
        <f>CHOOSE(CalNseSrc_DataType,Cal_SF_GamCold,'346'!Q78,'346'!Q78,'346'!Q78,'346'!Q78,'346'!Q78,X79)</f>
        <v>0.12</v>
      </c>
    </row>
    <row r="80" spans="1:30">
      <c r="A80" s="11">
        <v>0</v>
      </c>
      <c r="B80" s="11" t="s">
        <v>0</v>
      </c>
      <c r="C80" s="11">
        <v>0</v>
      </c>
      <c r="D80" s="29"/>
      <c r="E80" s="11">
        <v>0</v>
      </c>
      <c r="F80" s="11">
        <v>0</v>
      </c>
      <c r="G80" s="29">
        <v>0</v>
      </c>
      <c r="H80" s="11">
        <v>0</v>
      </c>
      <c r="I80" s="29">
        <v>0</v>
      </c>
      <c r="J80" s="20">
        <f t="shared" si="22"/>
        <v>1.0000000000000001E-9</v>
      </c>
      <c r="K80" s="2">
        <f t="shared" si="23"/>
        <v>1000</v>
      </c>
      <c r="L80" s="2">
        <f t="shared" si="24"/>
        <v>973.4</v>
      </c>
      <c r="M80" s="2">
        <f t="shared" si="25"/>
        <v>0</v>
      </c>
      <c r="N80" s="2">
        <f t="shared" si="15"/>
        <v>0</v>
      </c>
      <c r="O80" s="2">
        <f t="shared" si="16"/>
        <v>0</v>
      </c>
      <c r="P80" s="2">
        <f t="shared" si="17"/>
        <v>0</v>
      </c>
      <c r="Q80" s="2">
        <f t="shared" si="18"/>
        <v>0</v>
      </c>
      <c r="S80" s="2">
        <f t="shared" si="21"/>
        <v>75</v>
      </c>
      <c r="T80" s="2">
        <f t="shared" si="20"/>
        <v>26.5001</v>
      </c>
      <c r="U80" s="2">
        <v>15.5</v>
      </c>
      <c r="V80" s="2">
        <v>0.1</v>
      </c>
      <c r="W80" s="2">
        <v>0.1</v>
      </c>
      <c r="X80" s="2">
        <v>0.04</v>
      </c>
      <c r="AA80" s="2">
        <f>CHOOSE(CalNseSrc_DataType,Cal_SF_ENR,'346'!R79,'346'!R79,'346'!R79,'346'!R79,'346'!R79,U80)</f>
        <v>12</v>
      </c>
      <c r="AB80" s="2">
        <f t="shared" si="19"/>
        <v>0.1</v>
      </c>
      <c r="AC80" s="2">
        <f>CHOOSE(CalNseSrc_DataType,CalSF_NSgamma,'346'!Q79,'346'!Q79,'346'!Q79,'346'!Q79,'346'!Q79,W80)</f>
        <v>0.22</v>
      </c>
      <c r="AD80" s="2">
        <f>CHOOSE(CalNseSrc_DataType,Cal_SF_GamCold,'346'!Q79,'346'!Q79,'346'!Q79,'346'!Q79,'346'!Q79,X80)</f>
        <v>0.12</v>
      </c>
    </row>
    <row r="81" spans="1:30">
      <c r="A81" s="11">
        <v>0</v>
      </c>
      <c r="B81" s="11" t="s">
        <v>0</v>
      </c>
      <c r="C81" s="11">
        <v>0</v>
      </c>
      <c r="D81" s="29"/>
      <c r="E81" s="11">
        <v>0</v>
      </c>
      <c r="F81" s="11">
        <v>0</v>
      </c>
      <c r="G81" s="29">
        <v>0</v>
      </c>
      <c r="H81" s="11">
        <v>0</v>
      </c>
      <c r="I81" s="29">
        <v>0</v>
      </c>
      <c r="J81" s="20">
        <f t="shared" si="22"/>
        <v>1.0000000000000001E-9</v>
      </c>
      <c r="K81" s="2">
        <f t="shared" si="23"/>
        <v>1000</v>
      </c>
      <c r="L81" s="2">
        <f t="shared" si="24"/>
        <v>973.4</v>
      </c>
      <c r="M81" s="2">
        <f t="shared" si="25"/>
        <v>0</v>
      </c>
      <c r="N81" s="2">
        <f t="shared" si="15"/>
        <v>0</v>
      </c>
      <c r="O81" s="2">
        <f t="shared" si="16"/>
        <v>0</v>
      </c>
      <c r="P81" s="2">
        <f t="shared" si="17"/>
        <v>0</v>
      </c>
      <c r="Q81" s="2">
        <f t="shared" si="18"/>
        <v>0</v>
      </c>
      <c r="S81" s="2">
        <f t="shared" si="21"/>
        <v>76</v>
      </c>
      <c r="T81" s="2">
        <f t="shared" si="20"/>
        <v>26.5001</v>
      </c>
      <c r="U81" s="2">
        <v>15.5</v>
      </c>
      <c r="V81" s="2">
        <v>0.1</v>
      </c>
      <c r="W81" s="2">
        <v>0.1</v>
      </c>
      <c r="X81" s="2">
        <v>0.04</v>
      </c>
      <c r="AA81" s="2">
        <f>CHOOSE(CalNseSrc_DataType,Cal_SF_ENR,'346'!R80,'346'!R80,'346'!R80,'346'!R80,'346'!R80,U81)</f>
        <v>12</v>
      </c>
      <c r="AB81" s="2">
        <f t="shared" si="19"/>
        <v>0.1</v>
      </c>
      <c r="AC81" s="2">
        <f>CHOOSE(CalNseSrc_DataType,CalSF_NSgamma,'346'!Q80,'346'!Q80,'346'!Q80,'346'!Q80,'346'!Q80,W81)</f>
        <v>0.22</v>
      </c>
      <c r="AD81" s="2">
        <f>CHOOSE(CalNseSrc_DataType,Cal_SF_GamCold,'346'!Q80,'346'!Q80,'346'!Q80,'346'!Q80,'346'!Q80,X81)</f>
        <v>0.12</v>
      </c>
    </row>
    <row r="82" spans="1:30">
      <c r="A82" s="11">
        <v>0</v>
      </c>
      <c r="B82" s="11" t="s">
        <v>0</v>
      </c>
      <c r="C82" s="11">
        <v>0</v>
      </c>
      <c r="D82" s="29"/>
      <c r="E82" s="11">
        <v>0</v>
      </c>
      <c r="F82" s="11">
        <v>0</v>
      </c>
      <c r="G82" s="29">
        <v>0</v>
      </c>
      <c r="H82" s="11">
        <v>0</v>
      </c>
      <c r="I82" s="29">
        <v>0</v>
      </c>
      <c r="J82" s="20">
        <f t="shared" si="22"/>
        <v>1.0000000000000001E-9</v>
      </c>
      <c r="K82" s="2">
        <f t="shared" si="23"/>
        <v>1000</v>
      </c>
      <c r="L82" s="2">
        <f t="shared" si="24"/>
        <v>973.4</v>
      </c>
      <c r="M82" s="2">
        <f t="shared" si="25"/>
        <v>0</v>
      </c>
      <c r="N82" s="2">
        <f t="shared" si="15"/>
        <v>0</v>
      </c>
      <c r="O82" s="2">
        <f t="shared" si="16"/>
        <v>0</v>
      </c>
      <c r="P82" s="2">
        <f t="shared" si="17"/>
        <v>0</v>
      </c>
      <c r="Q82" s="2">
        <f t="shared" si="18"/>
        <v>0</v>
      </c>
      <c r="S82" s="2">
        <f t="shared" si="21"/>
        <v>77</v>
      </c>
      <c r="T82" s="2">
        <f t="shared" si="20"/>
        <v>26.5001</v>
      </c>
      <c r="U82" s="2">
        <v>15.5</v>
      </c>
      <c r="V82" s="2">
        <v>0.1</v>
      </c>
      <c r="W82" s="2">
        <v>0.1</v>
      </c>
      <c r="X82" s="2">
        <v>0.04</v>
      </c>
      <c r="AA82" s="2">
        <f>CHOOSE(CalNseSrc_DataType,Cal_SF_ENR,'346'!R81,'346'!R81,'346'!R81,'346'!R81,'346'!R81,U82)</f>
        <v>12</v>
      </c>
      <c r="AB82" s="2">
        <f t="shared" si="19"/>
        <v>0.1</v>
      </c>
      <c r="AC82" s="2">
        <f>CHOOSE(CalNseSrc_DataType,CalSF_NSgamma,'346'!Q81,'346'!Q81,'346'!Q81,'346'!Q81,'346'!Q81,W82)</f>
        <v>0.22</v>
      </c>
      <c r="AD82" s="2">
        <f>CHOOSE(CalNseSrc_DataType,Cal_SF_GamCold,'346'!Q81,'346'!Q81,'346'!Q81,'346'!Q81,'346'!Q81,X82)</f>
        <v>0.12</v>
      </c>
    </row>
    <row r="83" spans="1:30">
      <c r="A83" s="11">
        <v>0</v>
      </c>
      <c r="B83" s="11" t="s">
        <v>0</v>
      </c>
      <c r="C83" s="11">
        <v>0</v>
      </c>
      <c r="D83" s="29"/>
      <c r="E83" s="11">
        <v>0</v>
      </c>
      <c r="F83" s="11">
        <v>0</v>
      </c>
      <c r="G83" s="29">
        <v>0</v>
      </c>
      <c r="H83" s="11">
        <v>0</v>
      </c>
      <c r="I83" s="29">
        <v>0</v>
      </c>
      <c r="J83" s="20">
        <f t="shared" si="22"/>
        <v>1.0000000000000001E-9</v>
      </c>
      <c r="K83" s="2">
        <f t="shared" si="23"/>
        <v>1000</v>
      </c>
      <c r="L83" s="2">
        <f t="shared" si="24"/>
        <v>973.4</v>
      </c>
      <c r="M83" s="2">
        <f t="shared" si="25"/>
        <v>0</v>
      </c>
      <c r="N83" s="2">
        <f t="shared" si="15"/>
        <v>0</v>
      </c>
      <c r="O83" s="2">
        <f t="shared" si="16"/>
        <v>0</v>
      </c>
      <c r="P83" s="2">
        <f t="shared" si="17"/>
        <v>0</v>
      </c>
      <c r="Q83" s="2">
        <f t="shared" si="18"/>
        <v>0</v>
      </c>
      <c r="S83" s="2">
        <f t="shared" si="21"/>
        <v>78</v>
      </c>
      <c r="T83" s="2">
        <f t="shared" si="20"/>
        <v>26.5001</v>
      </c>
      <c r="U83" s="2">
        <v>15.5</v>
      </c>
      <c r="V83" s="2">
        <v>0.1</v>
      </c>
      <c r="W83" s="2">
        <v>0.1</v>
      </c>
      <c r="X83" s="2">
        <v>0.04</v>
      </c>
      <c r="AA83" s="2">
        <f>CHOOSE(CalNseSrc_DataType,Cal_SF_ENR,'346'!R82,'346'!R82,'346'!R82,'346'!R82,'346'!R82,U83)</f>
        <v>12</v>
      </c>
      <c r="AB83" s="2">
        <f t="shared" si="19"/>
        <v>0.1</v>
      </c>
      <c r="AC83" s="2">
        <f>CHOOSE(CalNseSrc_DataType,CalSF_NSgamma,'346'!Q82,'346'!Q82,'346'!Q82,'346'!Q82,'346'!Q82,W83)</f>
        <v>0.22</v>
      </c>
      <c r="AD83" s="2">
        <f>CHOOSE(CalNseSrc_DataType,Cal_SF_GamCold,'346'!Q82,'346'!Q82,'346'!Q82,'346'!Q82,'346'!Q82,X83)</f>
        <v>0.12</v>
      </c>
    </row>
    <row r="84" spans="1:30">
      <c r="A84" s="11">
        <v>0</v>
      </c>
      <c r="B84" s="11" t="s">
        <v>0</v>
      </c>
      <c r="C84" s="11">
        <v>0</v>
      </c>
      <c r="D84" s="29"/>
      <c r="E84" s="11">
        <v>0</v>
      </c>
      <c r="F84" s="11">
        <v>0</v>
      </c>
      <c r="G84" s="29">
        <v>0</v>
      </c>
      <c r="H84" s="11">
        <v>0</v>
      </c>
      <c r="I84" s="29">
        <v>0</v>
      </c>
      <c r="J84" s="20">
        <f t="shared" si="22"/>
        <v>1.0000000000000001E-9</v>
      </c>
      <c r="K84" s="2">
        <f t="shared" si="23"/>
        <v>1000</v>
      </c>
      <c r="L84" s="2">
        <f t="shared" si="24"/>
        <v>973.4</v>
      </c>
      <c r="M84" s="2">
        <f t="shared" si="25"/>
        <v>0</v>
      </c>
      <c r="N84" s="2">
        <f t="shared" si="15"/>
        <v>0</v>
      </c>
      <c r="O84" s="2">
        <f t="shared" si="16"/>
        <v>0</v>
      </c>
      <c r="P84" s="2">
        <f t="shared" si="17"/>
        <v>0</v>
      </c>
      <c r="Q84" s="2">
        <f t="shared" si="18"/>
        <v>0</v>
      </c>
      <c r="S84" s="2">
        <f t="shared" si="21"/>
        <v>79</v>
      </c>
      <c r="T84" s="2">
        <f t="shared" si="20"/>
        <v>26.5001</v>
      </c>
      <c r="U84" s="2">
        <v>15.5</v>
      </c>
      <c r="V84" s="2">
        <v>0.1</v>
      </c>
      <c r="W84" s="2">
        <v>0.1</v>
      </c>
      <c r="X84" s="2">
        <v>0.04</v>
      </c>
      <c r="AA84" s="2">
        <f>CHOOSE(CalNseSrc_DataType,Cal_SF_ENR,'346'!R83,'346'!R83,'346'!R83,'346'!R83,'346'!R83,U84)</f>
        <v>12</v>
      </c>
      <c r="AB84" s="2">
        <f t="shared" si="19"/>
        <v>0.1</v>
      </c>
      <c r="AC84" s="2">
        <f>CHOOSE(CalNseSrc_DataType,CalSF_NSgamma,'346'!Q83,'346'!Q83,'346'!Q83,'346'!Q83,'346'!Q83,W84)</f>
        <v>0.22</v>
      </c>
      <c r="AD84" s="2">
        <f>CHOOSE(CalNseSrc_DataType,Cal_SF_GamCold,'346'!Q83,'346'!Q83,'346'!Q83,'346'!Q83,'346'!Q83,X84)</f>
        <v>0.12</v>
      </c>
    </row>
    <row r="85" spans="1:30">
      <c r="A85" s="11">
        <v>0</v>
      </c>
      <c r="B85" s="11" t="s">
        <v>0</v>
      </c>
      <c r="C85" s="11">
        <v>0</v>
      </c>
      <c r="D85" s="29"/>
      <c r="E85" s="11">
        <v>0</v>
      </c>
      <c r="F85" s="11">
        <v>0</v>
      </c>
      <c r="G85" s="29">
        <v>0</v>
      </c>
      <c r="H85" s="11">
        <v>0</v>
      </c>
      <c r="I85" s="29">
        <v>0</v>
      </c>
      <c r="J85" s="20">
        <f t="shared" si="22"/>
        <v>1.0000000000000001E-9</v>
      </c>
      <c r="K85" s="2">
        <f t="shared" si="23"/>
        <v>1000</v>
      </c>
      <c r="L85" s="2">
        <f t="shared" si="24"/>
        <v>973.4</v>
      </c>
      <c r="M85" s="2">
        <f t="shared" si="25"/>
        <v>0</v>
      </c>
      <c r="N85" s="2">
        <f t="shared" si="15"/>
        <v>0</v>
      </c>
      <c r="O85" s="2">
        <f t="shared" si="16"/>
        <v>0</v>
      </c>
      <c r="P85" s="2">
        <f t="shared" si="17"/>
        <v>0</v>
      </c>
      <c r="Q85" s="2">
        <f t="shared" si="18"/>
        <v>0</v>
      </c>
      <c r="S85" s="2">
        <f t="shared" si="21"/>
        <v>80</v>
      </c>
      <c r="T85" s="2">
        <f t="shared" si="20"/>
        <v>26.5001</v>
      </c>
      <c r="U85" s="2">
        <v>15.5</v>
      </c>
      <c r="V85" s="2">
        <v>0.1</v>
      </c>
      <c r="W85" s="2">
        <v>0.1</v>
      </c>
      <c r="X85" s="2">
        <v>0.04</v>
      </c>
      <c r="AA85" s="2">
        <f>CHOOSE(CalNseSrc_DataType,Cal_SF_ENR,'346'!R84,'346'!R84,'346'!R84,'346'!R84,'346'!R84,U85)</f>
        <v>12</v>
      </c>
      <c r="AB85" s="2">
        <f t="shared" si="19"/>
        <v>0.1</v>
      </c>
      <c r="AC85" s="2">
        <f>CHOOSE(CalNseSrc_DataType,CalSF_NSgamma,'346'!Q84,'346'!Q84,'346'!Q84,'346'!Q84,'346'!Q84,W85)</f>
        <v>0.22</v>
      </c>
      <c r="AD85" s="2">
        <f>CHOOSE(CalNseSrc_DataType,Cal_SF_GamCold,'346'!Q84,'346'!Q84,'346'!Q84,'346'!Q84,'346'!Q84,X85)</f>
        <v>0.12</v>
      </c>
    </row>
    <row r="86" spans="1:30">
      <c r="A86" s="11">
        <v>0</v>
      </c>
      <c r="B86" s="11" t="s">
        <v>0</v>
      </c>
      <c r="C86" s="11">
        <v>0</v>
      </c>
      <c r="D86" s="29"/>
      <c r="E86" s="11">
        <v>0</v>
      </c>
      <c r="F86" s="11">
        <v>0</v>
      </c>
      <c r="G86" s="29">
        <v>0</v>
      </c>
      <c r="H86" s="11">
        <v>0</v>
      </c>
      <c r="I86" s="29">
        <v>0</v>
      </c>
      <c r="J86" s="20">
        <f t="shared" si="22"/>
        <v>1.0000000000000001E-9</v>
      </c>
      <c r="K86" s="2">
        <f t="shared" si="23"/>
        <v>1000</v>
      </c>
      <c r="L86" s="2">
        <f t="shared" si="24"/>
        <v>973.4</v>
      </c>
      <c r="M86" s="2">
        <f t="shared" si="25"/>
        <v>0</v>
      </c>
      <c r="N86" s="2">
        <f t="shared" si="15"/>
        <v>0</v>
      </c>
      <c r="O86" s="2">
        <f t="shared" si="16"/>
        <v>0</v>
      </c>
      <c r="P86" s="2">
        <f t="shared" si="17"/>
        <v>0</v>
      </c>
      <c r="Q86" s="2">
        <f t="shared" si="18"/>
        <v>0</v>
      </c>
      <c r="S86" s="2">
        <f t="shared" si="21"/>
        <v>81</v>
      </c>
      <c r="T86" s="2">
        <f t="shared" si="20"/>
        <v>26.5001</v>
      </c>
      <c r="U86" s="2">
        <v>15.5</v>
      </c>
      <c r="V86" s="2">
        <v>0.1</v>
      </c>
      <c r="W86" s="2">
        <v>0.1</v>
      </c>
      <c r="X86" s="2">
        <v>0.04</v>
      </c>
      <c r="AA86" s="2">
        <f>CHOOSE(CalNseSrc_DataType,Cal_SF_ENR,'346'!R85,'346'!R85,'346'!R85,'346'!R85,'346'!R85,U86)</f>
        <v>12</v>
      </c>
      <c r="AB86" s="2">
        <f t="shared" si="19"/>
        <v>0.1</v>
      </c>
      <c r="AC86" s="2">
        <f>CHOOSE(CalNseSrc_DataType,CalSF_NSgamma,'346'!Q85,'346'!Q85,'346'!Q85,'346'!Q85,'346'!Q85,W86)</f>
        <v>0.22</v>
      </c>
      <c r="AD86" s="2">
        <f>CHOOSE(CalNseSrc_DataType,Cal_SF_GamCold,'346'!Q85,'346'!Q85,'346'!Q85,'346'!Q85,'346'!Q85,X86)</f>
        <v>0.12</v>
      </c>
    </row>
    <row r="87" spans="1:30">
      <c r="A87" s="11">
        <v>0</v>
      </c>
      <c r="B87" s="11" t="s">
        <v>0</v>
      </c>
      <c r="C87" s="11">
        <v>0</v>
      </c>
      <c r="D87" s="29"/>
      <c r="E87" s="11">
        <v>0</v>
      </c>
      <c r="F87" s="11">
        <v>0</v>
      </c>
      <c r="G87" s="29">
        <v>0</v>
      </c>
      <c r="H87" s="11">
        <v>0</v>
      </c>
      <c r="I87" s="29">
        <v>0</v>
      </c>
      <c r="J87" s="20">
        <f t="shared" si="22"/>
        <v>1.0000000000000001E-9</v>
      </c>
      <c r="K87" s="2">
        <f t="shared" si="23"/>
        <v>1000</v>
      </c>
      <c r="L87" s="2">
        <f t="shared" si="24"/>
        <v>973.4</v>
      </c>
      <c r="M87" s="2">
        <f t="shared" si="25"/>
        <v>0</v>
      </c>
      <c r="N87" s="2">
        <f t="shared" si="15"/>
        <v>0</v>
      </c>
      <c r="O87" s="2">
        <f t="shared" si="16"/>
        <v>0</v>
      </c>
      <c r="P87" s="2">
        <f t="shared" si="17"/>
        <v>0</v>
      </c>
      <c r="Q87" s="2">
        <f t="shared" si="18"/>
        <v>0</v>
      </c>
      <c r="S87" s="2">
        <f t="shared" si="21"/>
        <v>82</v>
      </c>
      <c r="T87" s="2">
        <f t="shared" si="20"/>
        <v>26.5001</v>
      </c>
      <c r="U87" s="2">
        <v>15.5</v>
      </c>
      <c r="V87" s="2">
        <v>0.1</v>
      </c>
      <c r="W87" s="2">
        <v>0.1</v>
      </c>
      <c r="X87" s="2">
        <v>0.04</v>
      </c>
      <c r="AA87" s="2">
        <f>CHOOSE(CalNseSrc_DataType,Cal_SF_ENR,'346'!R86,'346'!R86,'346'!R86,'346'!R86,'346'!R86,U87)</f>
        <v>12</v>
      </c>
      <c r="AB87" s="2">
        <f t="shared" si="19"/>
        <v>0.1</v>
      </c>
      <c r="AC87" s="2">
        <f>CHOOSE(CalNseSrc_DataType,CalSF_NSgamma,'346'!Q86,'346'!Q86,'346'!Q86,'346'!Q86,'346'!Q86,W87)</f>
        <v>0.22</v>
      </c>
      <c r="AD87" s="2">
        <f>CHOOSE(CalNseSrc_DataType,Cal_SF_GamCold,'346'!Q86,'346'!Q86,'346'!Q86,'346'!Q86,'346'!Q86,X87)</f>
        <v>0.12</v>
      </c>
    </row>
    <row r="88" spans="1:30">
      <c r="A88" s="11">
        <v>0</v>
      </c>
      <c r="B88" s="11" t="s">
        <v>0</v>
      </c>
      <c r="C88" s="11">
        <v>0</v>
      </c>
      <c r="D88" s="29"/>
      <c r="E88" s="11">
        <v>0</v>
      </c>
      <c r="F88" s="11">
        <v>0</v>
      </c>
      <c r="G88" s="29">
        <v>0</v>
      </c>
      <c r="H88" s="11">
        <v>0</v>
      </c>
      <c r="I88" s="29">
        <v>0</v>
      </c>
      <c r="J88" s="20">
        <f t="shared" si="22"/>
        <v>1.0000000000000001E-9</v>
      </c>
      <c r="K88" s="2">
        <f t="shared" si="23"/>
        <v>1000</v>
      </c>
      <c r="L88" s="2">
        <f t="shared" si="24"/>
        <v>973.4</v>
      </c>
      <c r="M88" s="2">
        <f t="shared" si="25"/>
        <v>0</v>
      </c>
      <c r="N88" s="2">
        <f t="shared" si="15"/>
        <v>0</v>
      </c>
      <c r="O88" s="2">
        <f t="shared" si="16"/>
        <v>0</v>
      </c>
      <c r="P88" s="2">
        <f t="shared" si="17"/>
        <v>0</v>
      </c>
      <c r="Q88" s="2">
        <f t="shared" si="18"/>
        <v>0</v>
      </c>
      <c r="S88" s="2">
        <f t="shared" si="21"/>
        <v>83</v>
      </c>
      <c r="T88" s="2">
        <f t="shared" si="20"/>
        <v>26.5001</v>
      </c>
      <c r="U88" s="2">
        <v>15.5</v>
      </c>
      <c r="V88" s="2">
        <v>0.1</v>
      </c>
      <c r="W88" s="2">
        <v>0.1</v>
      </c>
      <c r="X88" s="2">
        <v>0.04</v>
      </c>
      <c r="AA88" s="2">
        <f>CHOOSE(CalNseSrc_DataType,Cal_SF_ENR,'346'!R87,'346'!R87,'346'!R87,'346'!R87,'346'!R87,U88)</f>
        <v>12</v>
      </c>
      <c r="AB88" s="2">
        <f t="shared" si="19"/>
        <v>0.1</v>
      </c>
      <c r="AC88" s="2">
        <f>CHOOSE(CalNseSrc_DataType,CalSF_NSgamma,'346'!Q87,'346'!Q87,'346'!Q87,'346'!Q87,'346'!Q87,W88)</f>
        <v>0.22</v>
      </c>
      <c r="AD88" s="2">
        <f>CHOOSE(CalNseSrc_DataType,Cal_SF_GamCold,'346'!Q87,'346'!Q87,'346'!Q87,'346'!Q87,'346'!Q87,X88)</f>
        <v>0.12</v>
      </c>
    </row>
    <row r="89" spans="1:30">
      <c r="A89" s="11">
        <v>0</v>
      </c>
      <c r="B89" s="11" t="s">
        <v>0</v>
      </c>
      <c r="C89" s="11">
        <v>0</v>
      </c>
      <c r="D89" s="29"/>
      <c r="E89" s="11">
        <v>0</v>
      </c>
      <c r="F89" s="11">
        <v>0</v>
      </c>
      <c r="G89" s="29">
        <v>0</v>
      </c>
      <c r="H89" s="11">
        <v>0</v>
      </c>
      <c r="I89" s="29">
        <v>0</v>
      </c>
      <c r="J89" s="20">
        <f t="shared" si="22"/>
        <v>1.0000000000000001E-9</v>
      </c>
      <c r="K89" s="2">
        <f t="shared" si="23"/>
        <v>1000</v>
      </c>
      <c r="L89" s="2">
        <f t="shared" si="24"/>
        <v>973.4</v>
      </c>
      <c r="M89" s="2">
        <f t="shared" si="25"/>
        <v>0</v>
      </c>
      <c r="N89" s="2">
        <f t="shared" si="15"/>
        <v>0</v>
      </c>
      <c r="O89" s="2">
        <f t="shared" si="16"/>
        <v>0</v>
      </c>
      <c r="P89" s="2">
        <f t="shared" si="17"/>
        <v>0</v>
      </c>
      <c r="Q89" s="2">
        <f t="shared" si="18"/>
        <v>0</v>
      </c>
      <c r="S89" s="2">
        <f t="shared" si="21"/>
        <v>84</v>
      </c>
      <c r="T89" s="2">
        <f t="shared" si="20"/>
        <v>26.5001</v>
      </c>
      <c r="U89" s="2">
        <v>15.5</v>
      </c>
      <c r="V89" s="2">
        <v>0.1</v>
      </c>
      <c r="W89" s="2">
        <v>0.1</v>
      </c>
      <c r="X89" s="2">
        <v>0.04</v>
      </c>
      <c r="AA89" s="2">
        <f>CHOOSE(CalNseSrc_DataType,Cal_SF_ENR,'346'!R88,'346'!R88,'346'!R88,'346'!R88,'346'!R88,U89)</f>
        <v>12</v>
      </c>
      <c r="AB89" s="2">
        <f t="shared" si="19"/>
        <v>0.1</v>
      </c>
      <c r="AC89" s="2">
        <f>CHOOSE(CalNseSrc_DataType,CalSF_NSgamma,'346'!Q88,'346'!Q88,'346'!Q88,'346'!Q88,'346'!Q88,W89)</f>
        <v>0.22</v>
      </c>
      <c r="AD89" s="2">
        <f>CHOOSE(CalNseSrc_DataType,Cal_SF_GamCold,'346'!Q88,'346'!Q88,'346'!Q88,'346'!Q88,'346'!Q88,X89)</f>
        <v>0.12</v>
      </c>
    </row>
    <row r="90" spans="1:30">
      <c r="A90" s="11">
        <v>0</v>
      </c>
      <c r="B90" s="11" t="s">
        <v>0</v>
      </c>
      <c r="C90" s="11">
        <v>0</v>
      </c>
      <c r="D90" s="29"/>
      <c r="E90" s="11">
        <v>0</v>
      </c>
      <c r="F90" s="11">
        <v>0</v>
      </c>
      <c r="G90" s="29">
        <v>0</v>
      </c>
      <c r="H90" s="11">
        <v>0</v>
      </c>
      <c r="I90" s="29">
        <v>0</v>
      </c>
      <c r="J90" s="20">
        <f t="shared" si="22"/>
        <v>1.0000000000000001E-9</v>
      </c>
      <c r="K90" s="2">
        <f t="shared" si="23"/>
        <v>1000</v>
      </c>
      <c r="L90" s="2">
        <f t="shared" si="24"/>
        <v>973.4</v>
      </c>
      <c r="M90" s="2">
        <f t="shared" si="25"/>
        <v>0</v>
      </c>
      <c r="N90" s="2">
        <f t="shared" si="15"/>
        <v>0</v>
      </c>
      <c r="O90" s="2">
        <f t="shared" si="16"/>
        <v>0</v>
      </c>
      <c r="P90" s="2">
        <f t="shared" si="17"/>
        <v>0</v>
      </c>
      <c r="Q90" s="2">
        <f t="shared" si="18"/>
        <v>0</v>
      </c>
      <c r="S90" s="2">
        <f t="shared" si="21"/>
        <v>85</v>
      </c>
      <c r="T90" s="2">
        <f t="shared" si="20"/>
        <v>26.5001</v>
      </c>
      <c r="U90" s="2">
        <v>15.5</v>
      </c>
      <c r="V90" s="2">
        <v>0.1</v>
      </c>
      <c r="W90" s="2">
        <v>0.1</v>
      </c>
      <c r="X90" s="2">
        <v>0.04</v>
      </c>
      <c r="AA90" s="2">
        <f>CHOOSE(CalNseSrc_DataType,Cal_SF_ENR,'346'!R89,'346'!R89,'346'!R89,'346'!R89,'346'!R89,U90)</f>
        <v>12</v>
      </c>
      <c r="AB90" s="2">
        <f t="shared" si="19"/>
        <v>0.1</v>
      </c>
      <c r="AC90" s="2">
        <f>CHOOSE(CalNseSrc_DataType,CalSF_NSgamma,'346'!Q89,'346'!Q89,'346'!Q89,'346'!Q89,'346'!Q89,W90)</f>
        <v>0.22</v>
      </c>
      <c r="AD90" s="2">
        <f>CHOOSE(CalNseSrc_DataType,Cal_SF_GamCold,'346'!Q89,'346'!Q89,'346'!Q89,'346'!Q89,'346'!Q89,X90)</f>
        <v>0.12</v>
      </c>
    </row>
    <row r="91" spans="1:30">
      <c r="A91" s="11">
        <v>0</v>
      </c>
      <c r="B91" s="11" t="s">
        <v>0</v>
      </c>
      <c r="C91" s="11">
        <v>0</v>
      </c>
      <c r="D91" s="29"/>
      <c r="E91" s="11">
        <v>0</v>
      </c>
      <c r="F91" s="11">
        <v>0</v>
      </c>
      <c r="G91" s="29">
        <v>0</v>
      </c>
      <c r="H91" s="11">
        <v>0</v>
      </c>
      <c r="I91" s="29">
        <v>0</v>
      </c>
      <c r="J91" s="20">
        <f t="shared" si="22"/>
        <v>1.0000000000000001E-9</v>
      </c>
      <c r="K91" s="2">
        <f t="shared" si="23"/>
        <v>1000</v>
      </c>
      <c r="L91" s="2">
        <f t="shared" si="24"/>
        <v>973.4</v>
      </c>
      <c r="M91" s="2">
        <f t="shared" si="25"/>
        <v>0</v>
      </c>
      <c r="N91" s="2">
        <f t="shared" si="15"/>
        <v>0</v>
      </c>
      <c r="O91" s="2">
        <f t="shared" si="16"/>
        <v>0</v>
      </c>
      <c r="P91" s="2">
        <f t="shared" si="17"/>
        <v>0</v>
      </c>
      <c r="Q91" s="2">
        <f t="shared" si="18"/>
        <v>0</v>
      </c>
      <c r="S91" s="2">
        <f t="shared" si="21"/>
        <v>86</v>
      </c>
      <c r="T91" s="2">
        <f t="shared" si="20"/>
        <v>26.5001</v>
      </c>
      <c r="U91" s="2">
        <v>15.5</v>
      </c>
      <c r="V91" s="2">
        <v>0.1</v>
      </c>
      <c r="W91" s="2">
        <v>0.1</v>
      </c>
      <c r="X91" s="2">
        <v>0.04</v>
      </c>
      <c r="AA91" s="2">
        <f>CHOOSE(CalNseSrc_DataType,Cal_SF_ENR,'346'!R90,'346'!R90,'346'!R90,'346'!R90,'346'!R90,U91)</f>
        <v>12</v>
      </c>
      <c r="AB91" s="2">
        <f t="shared" si="19"/>
        <v>0.1</v>
      </c>
      <c r="AC91" s="2">
        <f>CHOOSE(CalNseSrc_DataType,CalSF_NSgamma,'346'!Q90,'346'!Q90,'346'!Q90,'346'!Q90,'346'!Q90,W91)</f>
        <v>0.22</v>
      </c>
      <c r="AD91" s="2">
        <f>CHOOSE(CalNseSrc_DataType,Cal_SF_GamCold,'346'!Q90,'346'!Q90,'346'!Q90,'346'!Q90,'346'!Q90,X91)</f>
        <v>0.12</v>
      </c>
    </row>
    <row r="92" spans="1:30">
      <c r="A92" s="11">
        <v>0</v>
      </c>
      <c r="B92" s="11" t="s">
        <v>0</v>
      </c>
      <c r="C92" s="11">
        <v>0</v>
      </c>
      <c r="D92" s="29"/>
      <c r="E92" s="11">
        <v>0</v>
      </c>
      <c r="F92" s="11">
        <v>0</v>
      </c>
      <c r="G92" s="29">
        <v>0</v>
      </c>
      <c r="H92" s="11">
        <v>0</v>
      </c>
      <c r="I92" s="29">
        <v>0</v>
      </c>
      <c r="J92" s="20">
        <f t="shared" si="22"/>
        <v>1.0000000000000001E-9</v>
      </c>
      <c r="K92" s="2">
        <f t="shared" si="23"/>
        <v>1000</v>
      </c>
      <c r="L92" s="2">
        <f t="shared" si="24"/>
        <v>973.4</v>
      </c>
      <c r="M92" s="2">
        <f t="shared" si="25"/>
        <v>0</v>
      </c>
      <c r="N92" s="2">
        <f t="shared" si="15"/>
        <v>0</v>
      </c>
      <c r="O92" s="2">
        <f t="shared" si="16"/>
        <v>0</v>
      </c>
      <c r="P92" s="2">
        <f t="shared" si="17"/>
        <v>0</v>
      </c>
      <c r="Q92" s="2">
        <f t="shared" si="18"/>
        <v>0</v>
      </c>
      <c r="S92" s="2">
        <f t="shared" si="21"/>
        <v>87</v>
      </c>
      <c r="T92" s="2">
        <f t="shared" si="20"/>
        <v>26.5001</v>
      </c>
      <c r="U92" s="2">
        <v>15.5</v>
      </c>
      <c r="V92" s="2">
        <v>0.1</v>
      </c>
      <c r="W92" s="2">
        <v>0.1</v>
      </c>
      <c r="X92" s="2">
        <v>0.04</v>
      </c>
      <c r="AA92" s="2">
        <f>CHOOSE(CalNseSrc_DataType,Cal_SF_ENR,'346'!R91,'346'!R91,'346'!R91,'346'!R91,'346'!R91,U92)</f>
        <v>12</v>
      </c>
      <c r="AB92" s="2">
        <f t="shared" si="19"/>
        <v>0.1</v>
      </c>
      <c r="AC92" s="2">
        <f>CHOOSE(CalNseSrc_DataType,CalSF_NSgamma,'346'!Q91,'346'!Q91,'346'!Q91,'346'!Q91,'346'!Q91,W92)</f>
        <v>0.22</v>
      </c>
      <c r="AD92" s="2">
        <f>CHOOSE(CalNseSrc_DataType,Cal_SF_GamCold,'346'!Q91,'346'!Q91,'346'!Q91,'346'!Q91,'346'!Q91,X92)</f>
        <v>0.12</v>
      </c>
    </row>
    <row r="93" spans="1:30">
      <c r="A93" s="11">
        <v>0</v>
      </c>
      <c r="B93" s="11" t="s">
        <v>0</v>
      </c>
      <c r="C93" s="11">
        <v>0</v>
      </c>
      <c r="D93" s="29"/>
      <c r="E93" s="11">
        <v>0</v>
      </c>
      <c r="F93" s="11">
        <v>0</v>
      </c>
      <c r="G93" s="29">
        <v>0</v>
      </c>
      <c r="H93" s="11">
        <v>0</v>
      </c>
      <c r="I93" s="29">
        <v>0</v>
      </c>
      <c r="J93" s="20">
        <f t="shared" si="22"/>
        <v>1.0000000000000001E-9</v>
      </c>
      <c r="K93" s="2">
        <f t="shared" si="23"/>
        <v>1000</v>
      </c>
      <c r="L93" s="2">
        <f t="shared" si="24"/>
        <v>973.4</v>
      </c>
      <c r="M93" s="2">
        <f t="shared" si="25"/>
        <v>0</v>
      </c>
      <c r="N93" s="2">
        <f t="shared" si="15"/>
        <v>0</v>
      </c>
      <c r="O93" s="2">
        <f t="shared" si="16"/>
        <v>0</v>
      </c>
      <c r="P93" s="2">
        <f t="shared" si="17"/>
        <v>0</v>
      </c>
      <c r="Q93" s="2">
        <f t="shared" si="18"/>
        <v>0</v>
      </c>
      <c r="S93" s="2">
        <f t="shared" si="21"/>
        <v>88</v>
      </c>
      <c r="T93" s="2">
        <f t="shared" si="20"/>
        <v>26.5001</v>
      </c>
      <c r="U93" s="2">
        <v>15.5</v>
      </c>
      <c r="V93" s="2">
        <v>0.1</v>
      </c>
      <c r="W93" s="2">
        <v>0.1</v>
      </c>
      <c r="X93" s="2">
        <v>0.04</v>
      </c>
      <c r="AA93" s="2">
        <f>CHOOSE(CalNseSrc_DataType,Cal_SF_ENR,'346'!R92,'346'!R92,'346'!R92,'346'!R92,'346'!R92,U93)</f>
        <v>12</v>
      </c>
      <c r="AB93" s="2">
        <f t="shared" si="19"/>
        <v>0.1</v>
      </c>
      <c r="AC93" s="2">
        <f>CHOOSE(CalNseSrc_DataType,CalSF_NSgamma,'346'!Q92,'346'!Q92,'346'!Q92,'346'!Q92,'346'!Q92,W93)</f>
        <v>0.22</v>
      </c>
      <c r="AD93" s="2">
        <f>CHOOSE(CalNseSrc_DataType,Cal_SF_GamCold,'346'!Q92,'346'!Q92,'346'!Q92,'346'!Q92,'346'!Q92,X93)</f>
        <v>0.12</v>
      </c>
    </row>
    <row r="94" spans="1:30">
      <c r="A94" s="11">
        <v>0</v>
      </c>
      <c r="B94" s="11" t="s">
        <v>0</v>
      </c>
      <c r="C94" s="11">
        <v>0</v>
      </c>
      <c r="D94" s="29"/>
      <c r="E94" s="11">
        <v>0</v>
      </c>
      <c r="F94" s="11">
        <v>0</v>
      </c>
      <c r="G94" s="29">
        <v>0</v>
      </c>
      <c r="H94" s="11">
        <v>0</v>
      </c>
      <c r="I94" s="29">
        <v>0</v>
      </c>
      <c r="J94" s="20">
        <f t="shared" si="22"/>
        <v>1.0000000000000001E-9</v>
      </c>
      <c r="K94" s="2">
        <f t="shared" si="23"/>
        <v>1000</v>
      </c>
      <c r="L94" s="2">
        <f t="shared" si="24"/>
        <v>973.4</v>
      </c>
      <c r="M94" s="2">
        <f t="shared" si="25"/>
        <v>0</v>
      </c>
      <c r="N94" s="2">
        <f t="shared" si="15"/>
        <v>0</v>
      </c>
      <c r="O94" s="2">
        <f t="shared" si="16"/>
        <v>0</v>
      </c>
      <c r="P94" s="2">
        <f t="shared" si="17"/>
        <v>0</v>
      </c>
      <c r="Q94" s="2">
        <f t="shared" si="18"/>
        <v>0</v>
      </c>
      <c r="S94" s="2">
        <f t="shared" si="21"/>
        <v>89</v>
      </c>
      <c r="T94" s="2">
        <f t="shared" si="20"/>
        <v>26.5001</v>
      </c>
      <c r="U94" s="2">
        <v>15.5</v>
      </c>
      <c r="V94" s="2">
        <v>0.1</v>
      </c>
      <c r="W94" s="2">
        <v>0.1</v>
      </c>
      <c r="X94" s="2">
        <v>0.04</v>
      </c>
      <c r="AA94" s="2">
        <f>CHOOSE(CalNseSrc_DataType,Cal_SF_ENR,'346'!R93,'346'!R93,'346'!R93,'346'!R93,'346'!R93,U94)</f>
        <v>12</v>
      </c>
      <c r="AB94" s="2">
        <f t="shared" si="19"/>
        <v>0.1</v>
      </c>
      <c r="AC94" s="2">
        <f>CHOOSE(CalNseSrc_DataType,CalSF_NSgamma,'346'!Q93,'346'!Q93,'346'!Q93,'346'!Q93,'346'!Q93,W94)</f>
        <v>0.22</v>
      </c>
      <c r="AD94" s="2">
        <f>CHOOSE(CalNseSrc_DataType,Cal_SF_GamCold,'346'!Q93,'346'!Q93,'346'!Q93,'346'!Q93,'346'!Q93,X94)</f>
        <v>0.12</v>
      </c>
    </row>
    <row r="95" spans="1:30">
      <c r="A95" s="11">
        <v>0</v>
      </c>
      <c r="B95" s="11" t="s">
        <v>0</v>
      </c>
      <c r="C95" s="11">
        <v>0</v>
      </c>
      <c r="D95" s="29"/>
      <c r="E95" s="11">
        <v>0</v>
      </c>
      <c r="F95" s="11">
        <v>0</v>
      </c>
      <c r="G95" s="29">
        <v>0</v>
      </c>
      <c r="H95" s="11">
        <v>0</v>
      </c>
      <c r="I95" s="29">
        <v>0</v>
      </c>
      <c r="J95" s="20">
        <f t="shared" si="22"/>
        <v>1.0000000000000001E-9</v>
      </c>
      <c r="K95" s="2">
        <f t="shared" si="23"/>
        <v>1000</v>
      </c>
      <c r="L95" s="2">
        <f t="shared" si="24"/>
        <v>973.4</v>
      </c>
      <c r="M95" s="2">
        <f t="shared" si="25"/>
        <v>0</v>
      </c>
      <c r="N95" s="2">
        <f t="shared" si="15"/>
        <v>0</v>
      </c>
      <c r="O95" s="2">
        <f t="shared" si="16"/>
        <v>0</v>
      </c>
      <c r="P95" s="2">
        <f t="shared" si="17"/>
        <v>0</v>
      </c>
      <c r="Q95" s="2">
        <f t="shared" si="18"/>
        <v>0</v>
      </c>
      <c r="S95" s="2">
        <f t="shared" si="21"/>
        <v>90</v>
      </c>
      <c r="T95" s="2">
        <f t="shared" si="20"/>
        <v>26.5001</v>
      </c>
      <c r="U95" s="2">
        <v>15.5</v>
      </c>
      <c r="V95" s="2">
        <v>0.1</v>
      </c>
      <c r="W95" s="2">
        <v>0.1</v>
      </c>
      <c r="X95" s="2">
        <v>0.04</v>
      </c>
      <c r="AA95" s="2">
        <f>CHOOSE(CalNseSrc_DataType,Cal_SF_ENR,'346'!R94,'346'!R94,'346'!R94,'346'!R94,'346'!R94,U95)</f>
        <v>12</v>
      </c>
      <c r="AB95" s="2">
        <f t="shared" si="19"/>
        <v>0.1</v>
      </c>
      <c r="AC95" s="2">
        <f>CHOOSE(CalNseSrc_DataType,CalSF_NSgamma,'346'!Q94,'346'!Q94,'346'!Q94,'346'!Q94,'346'!Q94,W95)</f>
        <v>0.22</v>
      </c>
      <c r="AD95" s="2">
        <f>CHOOSE(CalNseSrc_DataType,Cal_SF_GamCold,'346'!Q94,'346'!Q94,'346'!Q94,'346'!Q94,'346'!Q94,X95)</f>
        <v>0.12</v>
      </c>
    </row>
    <row r="96" spans="1:30">
      <c r="A96" s="11">
        <v>0</v>
      </c>
      <c r="B96" s="11" t="s">
        <v>0</v>
      </c>
      <c r="C96" s="11">
        <v>0</v>
      </c>
      <c r="D96" s="29"/>
      <c r="E96" s="11">
        <v>0</v>
      </c>
      <c r="F96" s="11">
        <v>0</v>
      </c>
      <c r="G96" s="29">
        <v>0</v>
      </c>
      <c r="H96" s="11">
        <v>0</v>
      </c>
      <c r="I96" s="29">
        <v>0</v>
      </c>
      <c r="J96" s="20">
        <f t="shared" si="22"/>
        <v>1.0000000000000001E-9</v>
      </c>
      <c r="K96" s="2">
        <f t="shared" si="23"/>
        <v>1000</v>
      </c>
      <c r="L96" s="2">
        <f t="shared" si="24"/>
        <v>973.4</v>
      </c>
      <c r="M96" s="2">
        <f t="shared" si="25"/>
        <v>0</v>
      </c>
      <c r="N96" s="2">
        <f t="shared" si="15"/>
        <v>0</v>
      </c>
      <c r="O96" s="2">
        <f t="shared" si="16"/>
        <v>0</v>
      </c>
      <c r="P96" s="2">
        <f t="shared" si="17"/>
        <v>0</v>
      </c>
      <c r="Q96" s="2">
        <f t="shared" si="18"/>
        <v>0</v>
      </c>
      <c r="S96" s="2">
        <f t="shared" si="21"/>
        <v>91</v>
      </c>
      <c r="T96" s="2">
        <f t="shared" si="20"/>
        <v>26.5001</v>
      </c>
      <c r="U96" s="2">
        <v>15.5</v>
      </c>
      <c r="V96" s="2">
        <v>0.1</v>
      </c>
      <c r="W96" s="2">
        <v>0.1</v>
      </c>
      <c r="X96" s="2">
        <v>0.04</v>
      </c>
      <c r="AA96" s="2">
        <f>CHOOSE(CalNseSrc_DataType,Cal_SF_ENR,'346'!R95,'346'!R95,'346'!R95,'346'!R95,'346'!R95,U96)</f>
        <v>12</v>
      </c>
      <c r="AB96" s="2">
        <f t="shared" si="19"/>
        <v>0.1</v>
      </c>
      <c r="AC96" s="2">
        <f>CHOOSE(CalNseSrc_DataType,CalSF_NSgamma,'346'!Q95,'346'!Q95,'346'!Q95,'346'!Q95,'346'!Q95,W96)</f>
        <v>0.22</v>
      </c>
      <c r="AD96" s="2">
        <f>CHOOSE(CalNseSrc_DataType,Cal_SF_GamCold,'346'!Q95,'346'!Q95,'346'!Q95,'346'!Q95,'346'!Q95,X96)</f>
        <v>0.12</v>
      </c>
    </row>
    <row r="97" spans="1:30">
      <c r="A97" s="11">
        <v>0</v>
      </c>
      <c r="B97" s="11" t="s">
        <v>0</v>
      </c>
      <c r="C97" s="11">
        <v>0</v>
      </c>
      <c r="D97" s="29"/>
      <c r="E97" s="11">
        <v>0</v>
      </c>
      <c r="F97" s="11">
        <v>0</v>
      </c>
      <c r="G97" s="29">
        <v>0</v>
      </c>
      <c r="H97" s="11">
        <v>0</v>
      </c>
      <c r="I97" s="29">
        <v>0</v>
      </c>
      <c r="J97" s="20">
        <f t="shared" si="22"/>
        <v>1.0000000000000001E-9</v>
      </c>
      <c r="K97" s="2">
        <f t="shared" si="23"/>
        <v>1000</v>
      </c>
      <c r="L97" s="2">
        <f t="shared" si="24"/>
        <v>973.4</v>
      </c>
      <c r="M97" s="2">
        <f t="shared" si="25"/>
        <v>0</v>
      </c>
      <c r="N97" s="2">
        <f t="shared" si="15"/>
        <v>0</v>
      </c>
      <c r="O97" s="2">
        <f t="shared" si="16"/>
        <v>0</v>
      </c>
      <c r="P97" s="2">
        <f t="shared" si="17"/>
        <v>0</v>
      </c>
      <c r="Q97" s="2">
        <f t="shared" si="18"/>
        <v>0</v>
      </c>
      <c r="S97" s="2">
        <f t="shared" si="21"/>
        <v>92</v>
      </c>
      <c r="T97" s="2">
        <f t="shared" si="20"/>
        <v>26.5001</v>
      </c>
      <c r="U97" s="2">
        <v>15.5</v>
      </c>
      <c r="V97" s="2">
        <v>0.1</v>
      </c>
      <c r="W97" s="2">
        <v>0.1</v>
      </c>
      <c r="X97" s="2">
        <v>0.04</v>
      </c>
      <c r="AA97" s="2">
        <f>CHOOSE(CalNseSrc_DataType,Cal_SF_ENR,'346'!R96,'346'!R96,'346'!R96,'346'!R96,'346'!R96,U97)</f>
        <v>12</v>
      </c>
      <c r="AB97" s="2">
        <f t="shared" si="19"/>
        <v>0.1</v>
      </c>
      <c r="AC97" s="2">
        <f>CHOOSE(CalNseSrc_DataType,CalSF_NSgamma,'346'!Q96,'346'!Q96,'346'!Q96,'346'!Q96,'346'!Q96,W97)</f>
        <v>0.22</v>
      </c>
      <c r="AD97" s="2">
        <f>CHOOSE(CalNseSrc_DataType,Cal_SF_GamCold,'346'!Q96,'346'!Q96,'346'!Q96,'346'!Q96,'346'!Q96,X97)</f>
        <v>0.12</v>
      </c>
    </row>
    <row r="98" spans="1:30">
      <c r="A98" s="11">
        <v>0</v>
      </c>
      <c r="B98" s="11" t="s">
        <v>0</v>
      </c>
      <c r="C98" s="11">
        <v>0</v>
      </c>
      <c r="D98" s="29"/>
      <c r="E98" s="11">
        <v>0</v>
      </c>
      <c r="F98" s="11">
        <v>0</v>
      </c>
      <c r="G98" s="29">
        <v>0</v>
      </c>
      <c r="H98" s="11">
        <v>0</v>
      </c>
      <c r="I98" s="29">
        <v>0</v>
      </c>
      <c r="J98" s="20">
        <f t="shared" si="22"/>
        <v>1.0000000000000001E-9</v>
      </c>
      <c r="K98" s="2">
        <f t="shared" si="23"/>
        <v>1000</v>
      </c>
      <c r="L98" s="2">
        <f t="shared" si="24"/>
        <v>973.4</v>
      </c>
      <c r="M98" s="2">
        <f t="shared" si="25"/>
        <v>0</v>
      </c>
      <c r="N98" s="2">
        <f t="shared" si="15"/>
        <v>0</v>
      </c>
      <c r="O98" s="2">
        <f t="shared" si="16"/>
        <v>0</v>
      </c>
      <c r="P98" s="2">
        <f t="shared" si="17"/>
        <v>0</v>
      </c>
      <c r="Q98" s="2">
        <f t="shared" si="18"/>
        <v>0</v>
      </c>
      <c r="S98" s="2">
        <f t="shared" si="21"/>
        <v>93</v>
      </c>
      <c r="T98" s="2">
        <f t="shared" si="20"/>
        <v>26.5001</v>
      </c>
      <c r="U98" s="2">
        <v>15.5</v>
      </c>
      <c r="V98" s="2">
        <v>0.1</v>
      </c>
      <c r="W98" s="2">
        <v>0.1</v>
      </c>
      <c r="X98" s="2">
        <v>0.04</v>
      </c>
      <c r="AA98" s="2">
        <f>CHOOSE(CalNseSrc_DataType,Cal_SF_ENR,'346'!R97,'346'!R97,'346'!R97,'346'!R97,'346'!R97,U98)</f>
        <v>12</v>
      </c>
      <c r="AB98" s="2">
        <f t="shared" si="19"/>
        <v>0.1</v>
      </c>
      <c r="AC98" s="2">
        <f>CHOOSE(CalNseSrc_DataType,CalSF_NSgamma,'346'!Q97,'346'!Q97,'346'!Q97,'346'!Q97,'346'!Q97,W98)</f>
        <v>0.22</v>
      </c>
      <c r="AD98" s="2">
        <f>CHOOSE(CalNseSrc_DataType,Cal_SF_GamCold,'346'!Q97,'346'!Q97,'346'!Q97,'346'!Q97,'346'!Q97,X98)</f>
        <v>0.12</v>
      </c>
    </row>
    <row r="99" spans="1:30">
      <c r="A99" s="11">
        <v>0</v>
      </c>
      <c r="B99" s="11" t="s">
        <v>0</v>
      </c>
      <c r="C99" s="11">
        <v>0</v>
      </c>
      <c r="D99" s="29"/>
      <c r="E99" s="11">
        <v>0</v>
      </c>
      <c r="F99" s="11">
        <v>0</v>
      </c>
      <c r="G99" s="29">
        <v>0</v>
      </c>
      <c r="H99" s="11">
        <v>0</v>
      </c>
      <c r="I99" s="29">
        <v>0</v>
      </c>
      <c r="J99" s="20">
        <f t="shared" si="22"/>
        <v>1.0000000000000001E-9</v>
      </c>
      <c r="K99" s="2">
        <f t="shared" si="23"/>
        <v>1000</v>
      </c>
      <c r="L99" s="2">
        <f t="shared" si="24"/>
        <v>973.4</v>
      </c>
      <c r="M99" s="2">
        <f t="shared" si="25"/>
        <v>0</v>
      </c>
      <c r="N99" s="2">
        <f t="shared" si="15"/>
        <v>0</v>
      </c>
      <c r="O99" s="2">
        <f t="shared" si="16"/>
        <v>0</v>
      </c>
      <c r="P99" s="2">
        <f t="shared" si="17"/>
        <v>0</v>
      </c>
      <c r="Q99" s="2">
        <f t="shared" si="18"/>
        <v>0</v>
      </c>
      <c r="S99" s="2">
        <f t="shared" si="21"/>
        <v>94</v>
      </c>
      <c r="T99" s="2">
        <f t="shared" si="20"/>
        <v>26.5001</v>
      </c>
      <c r="U99" s="2">
        <v>15.5</v>
      </c>
      <c r="V99" s="2">
        <v>0.1</v>
      </c>
      <c r="W99" s="2">
        <v>0.1</v>
      </c>
      <c r="X99" s="2">
        <v>0.04</v>
      </c>
      <c r="AA99" s="2">
        <f>CHOOSE(CalNseSrc_DataType,Cal_SF_ENR,'346'!R98,'346'!R98,'346'!R98,'346'!R98,'346'!R98,U99)</f>
        <v>12</v>
      </c>
      <c r="AB99" s="2">
        <f t="shared" si="19"/>
        <v>0.1</v>
      </c>
      <c r="AC99" s="2">
        <f>CHOOSE(CalNseSrc_DataType,CalSF_NSgamma,'346'!Q98,'346'!Q98,'346'!Q98,'346'!Q98,'346'!Q98,W99)</f>
        <v>0.22</v>
      </c>
      <c r="AD99" s="2">
        <f>CHOOSE(CalNseSrc_DataType,Cal_SF_GamCold,'346'!Q98,'346'!Q98,'346'!Q98,'346'!Q98,'346'!Q98,X99)</f>
        <v>0.12</v>
      </c>
    </row>
    <row r="100" spans="1:30">
      <c r="A100" s="11">
        <v>0</v>
      </c>
      <c r="B100" s="11" t="s">
        <v>0</v>
      </c>
      <c r="C100" s="11">
        <v>0</v>
      </c>
      <c r="D100" s="29"/>
      <c r="E100" s="11">
        <v>0</v>
      </c>
      <c r="F100" s="11">
        <v>0</v>
      </c>
      <c r="G100" s="29">
        <v>0</v>
      </c>
      <c r="H100" s="11">
        <v>0</v>
      </c>
      <c r="I100" s="29">
        <v>0</v>
      </c>
      <c r="J100" s="20">
        <f t="shared" si="22"/>
        <v>1.0000000000000001E-9</v>
      </c>
      <c r="K100" s="2">
        <f t="shared" si="23"/>
        <v>1000</v>
      </c>
      <c r="L100" s="2">
        <f t="shared" si="24"/>
        <v>973.4</v>
      </c>
      <c r="M100" s="2">
        <f t="shared" si="25"/>
        <v>0</v>
      </c>
      <c r="N100" s="2">
        <f t="shared" si="15"/>
        <v>0</v>
      </c>
      <c r="O100" s="2">
        <f t="shared" si="16"/>
        <v>0</v>
      </c>
      <c r="P100" s="2">
        <f t="shared" si="17"/>
        <v>0</v>
      </c>
      <c r="Q100" s="2">
        <f t="shared" si="18"/>
        <v>0</v>
      </c>
      <c r="S100" s="2">
        <f t="shared" si="21"/>
        <v>95</v>
      </c>
      <c r="T100" s="2">
        <f t="shared" si="20"/>
        <v>26.5001</v>
      </c>
      <c r="U100" s="2">
        <v>15.5</v>
      </c>
      <c r="V100" s="2">
        <v>0.1</v>
      </c>
      <c r="W100" s="2">
        <v>0.1</v>
      </c>
      <c r="X100" s="2">
        <v>0.04</v>
      </c>
      <c r="AA100" s="2">
        <f>CHOOSE(CalNseSrc_DataType,Cal_SF_ENR,'346'!R99,'346'!R99,'346'!R99,'346'!R99,'346'!R99,U100)</f>
        <v>12</v>
      </c>
      <c r="AB100" s="2">
        <f t="shared" si="19"/>
        <v>0.1</v>
      </c>
      <c r="AC100" s="2">
        <f>CHOOSE(CalNseSrc_DataType,CalSF_NSgamma,'346'!Q99,'346'!Q99,'346'!Q99,'346'!Q99,'346'!Q99,W100)</f>
        <v>0.22</v>
      </c>
      <c r="AD100" s="2">
        <f>CHOOSE(CalNseSrc_DataType,Cal_SF_GamCold,'346'!Q99,'346'!Q99,'346'!Q99,'346'!Q99,'346'!Q99,X100)</f>
        <v>0.12</v>
      </c>
    </row>
    <row r="101" spans="1:30">
      <c r="A101" s="11">
        <v>0</v>
      </c>
      <c r="B101" s="11" t="s">
        <v>0</v>
      </c>
      <c r="C101" s="11">
        <v>0</v>
      </c>
      <c r="D101" s="29"/>
      <c r="E101" s="11">
        <v>0</v>
      </c>
      <c r="F101" s="11">
        <v>0</v>
      </c>
      <c r="G101" s="29">
        <v>0</v>
      </c>
      <c r="H101" s="11">
        <v>0</v>
      </c>
      <c r="I101" s="29">
        <v>0</v>
      </c>
      <c r="J101" s="20">
        <f t="shared" si="22"/>
        <v>1.0000000000000001E-9</v>
      </c>
      <c r="K101" s="2">
        <f t="shared" si="23"/>
        <v>1000</v>
      </c>
      <c r="L101" s="2">
        <f t="shared" si="24"/>
        <v>973.4</v>
      </c>
      <c r="M101" s="2">
        <f t="shared" si="25"/>
        <v>0</v>
      </c>
      <c r="N101" s="2">
        <f t="shared" si="15"/>
        <v>0</v>
      </c>
      <c r="O101" s="2">
        <f t="shared" si="16"/>
        <v>0</v>
      </c>
      <c r="P101" s="2">
        <f t="shared" si="17"/>
        <v>0</v>
      </c>
      <c r="Q101" s="2">
        <f t="shared" si="18"/>
        <v>0</v>
      </c>
      <c r="S101" s="2">
        <f t="shared" si="21"/>
        <v>96</v>
      </c>
      <c r="T101" s="2">
        <f t="shared" si="20"/>
        <v>26.5001</v>
      </c>
      <c r="U101" s="2">
        <v>15.5</v>
      </c>
      <c r="V101" s="2">
        <v>0.1</v>
      </c>
      <c r="W101" s="2">
        <v>0.1</v>
      </c>
      <c r="X101" s="2">
        <v>0.04</v>
      </c>
      <c r="AA101" s="2">
        <f>CHOOSE(CalNseSrc_DataType,Cal_SF_ENR,'346'!R100,'346'!R100,'346'!R100,'346'!R100,'346'!R100,U101)</f>
        <v>12</v>
      </c>
      <c r="AB101" s="2">
        <f t="shared" si="19"/>
        <v>0.1</v>
      </c>
      <c r="AC101" s="2">
        <f>CHOOSE(CalNseSrc_DataType,CalSF_NSgamma,'346'!Q100,'346'!Q100,'346'!Q100,'346'!Q100,'346'!Q100,W101)</f>
        <v>0.22</v>
      </c>
      <c r="AD101" s="2">
        <f>CHOOSE(CalNseSrc_DataType,Cal_SF_GamCold,'346'!Q100,'346'!Q100,'346'!Q100,'346'!Q100,'346'!Q100,X101)</f>
        <v>0.12</v>
      </c>
    </row>
    <row r="102" spans="1:30">
      <c r="A102" s="11">
        <v>0</v>
      </c>
      <c r="B102" s="11" t="s">
        <v>0</v>
      </c>
      <c r="C102" s="11">
        <v>0</v>
      </c>
      <c r="D102" s="29"/>
      <c r="E102" s="11">
        <v>0</v>
      </c>
      <c r="F102" s="11">
        <v>0</v>
      </c>
      <c r="G102" s="29">
        <v>0</v>
      </c>
      <c r="H102" s="11">
        <v>0</v>
      </c>
      <c r="I102" s="29">
        <v>0</v>
      </c>
      <c r="J102" s="20">
        <f t="shared" si="22"/>
        <v>1.0000000000000001E-9</v>
      </c>
      <c r="K102" s="2">
        <f t="shared" si="23"/>
        <v>1000</v>
      </c>
      <c r="L102" s="2">
        <f t="shared" si="24"/>
        <v>973.4</v>
      </c>
      <c r="M102" s="2">
        <f t="shared" si="25"/>
        <v>0</v>
      </c>
      <c r="N102" s="2">
        <f t="shared" si="15"/>
        <v>0</v>
      </c>
      <c r="O102" s="2">
        <f t="shared" si="16"/>
        <v>0</v>
      </c>
      <c r="P102" s="2">
        <f t="shared" si="17"/>
        <v>0</v>
      </c>
      <c r="Q102" s="2">
        <f t="shared" si="18"/>
        <v>0</v>
      </c>
      <c r="S102" s="2">
        <f t="shared" si="21"/>
        <v>97</v>
      </c>
      <c r="T102" s="2">
        <f t="shared" si="20"/>
        <v>26.5001</v>
      </c>
      <c r="U102" s="2">
        <v>15.5</v>
      </c>
      <c r="V102" s="2">
        <v>0.1</v>
      </c>
      <c r="W102" s="2">
        <v>0.1</v>
      </c>
      <c r="X102" s="2">
        <v>0.04</v>
      </c>
      <c r="AA102" s="2">
        <f>CHOOSE(CalNseSrc_DataType,Cal_SF_ENR,'346'!R101,'346'!R101,'346'!R101,'346'!R101,'346'!R101,U102)</f>
        <v>12</v>
      </c>
      <c r="AB102" s="2">
        <f t="shared" si="19"/>
        <v>0.1</v>
      </c>
      <c r="AC102" s="2">
        <f>CHOOSE(CalNseSrc_DataType,CalSF_NSgamma,'346'!Q101,'346'!Q101,'346'!Q101,'346'!Q101,'346'!Q101,W102)</f>
        <v>0.22</v>
      </c>
      <c r="AD102" s="2">
        <f>CHOOSE(CalNseSrc_DataType,Cal_SF_GamCold,'346'!Q101,'346'!Q101,'346'!Q101,'346'!Q101,'346'!Q101,X102)</f>
        <v>0.12</v>
      </c>
    </row>
    <row r="103" spans="1:30">
      <c r="S103" s="2">
        <f t="shared" si="21"/>
        <v>98</v>
      </c>
      <c r="T103" s="2">
        <f t="shared" si="20"/>
        <v>26.5001</v>
      </c>
      <c r="U103" s="2">
        <v>15.5</v>
      </c>
      <c r="V103" s="2">
        <v>0.1</v>
      </c>
      <c r="W103" s="2">
        <v>0.1</v>
      </c>
      <c r="X103" s="2">
        <v>0.04</v>
      </c>
      <c r="AA103" s="2">
        <f>CHOOSE(CalNseSrc_DataType,Cal_SF_ENR,'346'!R102,'346'!R102,'346'!R102,'346'!R102,'346'!R102,U103)</f>
        <v>12</v>
      </c>
      <c r="AB103" s="2">
        <f t="shared" si="19"/>
        <v>0.1</v>
      </c>
      <c r="AC103" s="2">
        <f>CHOOSE(CalNseSrc_DataType,CalSF_NSgamma,'346'!Q102,'346'!Q102,'346'!Q102,'346'!Q102,'346'!Q102,W103)</f>
        <v>0.22</v>
      </c>
      <c r="AD103" s="2">
        <f>CHOOSE(CalNseSrc_DataType,Cal_SF_GamCold,'346'!Q102,'346'!Q102,'346'!Q102,'346'!Q102,'346'!Q102,X103)</f>
        <v>0.12</v>
      </c>
    </row>
    <row r="104" spans="1:30">
      <c r="S104" s="2">
        <f t="shared" si="21"/>
        <v>99</v>
      </c>
      <c r="T104" s="2">
        <f t="shared" si="20"/>
        <v>26.5001</v>
      </c>
      <c r="U104" s="2">
        <v>15.5</v>
      </c>
      <c r="V104" s="2">
        <v>0.1</v>
      </c>
      <c r="W104" s="2">
        <v>0.1</v>
      </c>
      <c r="X104" s="2">
        <v>0.04</v>
      </c>
      <c r="AA104" s="2">
        <f>CHOOSE(CalNseSrc_DataType,Cal_SF_ENR,'346'!R103,'346'!R103,'346'!R103,'346'!R103,'346'!R103,U104)</f>
        <v>12</v>
      </c>
      <c r="AB104" s="2">
        <f t="shared" si="19"/>
        <v>0.1</v>
      </c>
      <c r="AC104" s="2">
        <f>CHOOSE(CalNseSrc_DataType,CalSF_NSgamma,'346'!Q103,'346'!Q103,'346'!Q103,'346'!Q103,'346'!Q103,W104)</f>
        <v>0.22</v>
      </c>
      <c r="AD104" s="2">
        <f>CHOOSE(CalNseSrc_DataType,Cal_SF_GamCold,'346'!Q103,'346'!Q103,'346'!Q103,'346'!Q103,'346'!Q103,X104)</f>
        <v>0.12</v>
      </c>
    </row>
    <row r="105" spans="1:30">
      <c r="S105" s="2">
        <f t="shared" si="21"/>
        <v>100</v>
      </c>
      <c r="T105" s="2">
        <f t="shared" si="20"/>
        <v>26.5001</v>
      </c>
      <c r="U105" s="2">
        <v>15.5</v>
      </c>
      <c r="V105" s="2">
        <v>0.1</v>
      </c>
      <c r="W105" s="2">
        <v>0.1</v>
      </c>
      <c r="X105" s="2">
        <v>0.04</v>
      </c>
      <c r="AA105" s="2">
        <f>CHOOSE(CalNseSrc_DataType,Cal_SF_ENR,'346'!R104,'346'!R104,'346'!R104,'346'!R104,'346'!R104,U105)</f>
        <v>12</v>
      </c>
      <c r="AB105" s="2">
        <f t="shared" si="19"/>
        <v>0.1</v>
      </c>
      <c r="AC105" s="2">
        <f>CHOOSE(CalNseSrc_DataType,CalSF_NSgamma,'346'!Q104,'346'!Q104,'346'!Q104,'346'!Q104,'346'!Q104,W105)</f>
        <v>0.22</v>
      </c>
      <c r="AD105" s="2">
        <f>CHOOSE(CalNseSrc_DataType,Cal_SF_GamCold,'346'!Q104,'346'!Q104,'346'!Q104,'346'!Q104,'346'!Q104,X105)</f>
        <v>0.12</v>
      </c>
    </row>
    <row r="106" spans="1:30">
      <c r="S106" s="2">
        <f t="shared" si="21"/>
        <v>101</v>
      </c>
      <c r="T106" s="2">
        <f t="shared" si="20"/>
        <v>26.5001</v>
      </c>
      <c r="U106" s="2">
        <v>15.5</v>
      </c>
      <c r="V106" s="2">
        <v>0.1</v>
      </c>
      <c r="W106" s="2">
        <v>0.1</v>
      </c>
      <c r="X106" s="2">
        <v>0.04</v>
      </c>
      <c r="AA106" s="2">
        <f>CHOOSE(CalNseSrc_DataType,Cal_SF_ENR,'346'!R105,'346'!R105,'346'!R105,'346'!R105,'346'!R105,U106)</f>
        <v>12</v>
      </c>
      <c r="AB106" s="2">
        <f t="shared" si="19"/>
        <v>0.1</v>
      </c>
      <c r="AC106" s="2">
        <f>CHOOSE(CalNseSrc_DataType,CalSF_NSgamma,'346'!Q105,'346'!Q105,'346'!Q105,'346'!Q105,'346'!Q105,W106)</f>
        <v>0.22</v>
      </c>
      <c r="AD106" s="2">
        <f>CHOOSE(CalNseSrc_DataType,Cal_SF_GamCold,'346'!Q105,'346'!Q105,'346'!Q105,'346'!Q105,'346'!Q105,X106)</f>
        <v>0.12</v>
      </c>
    </row>
    <row r="107" spans="1:30">
      <c r="S107" s="2">
        <f t="shared" si="21"/>
        <v>102</v>
      </c>
      <c r="T107" s="2">
        <f t="shared" si="20"/>
        <v>26.5001</v>
      </c>
      <c r="U107" s="2">
        <f>U106</f>
        <v>15.5</v>
      </c>
      <c r="V107" s="2">
        <f>V106</f>
        <v>0.1</v>
      </c>
      <c r="W107" s="2">
        <f>W106</f>
        <v>0.1</v>
      </c>
      <c r="X107" s="2">
        <f>X106</f>
        <v>0.04</v>
      </c>
      <c r="AA107" s="2">
        <f>CHOOSE(CalNseSrc_DataType,Cal_SF_ENR,'346'!R106,'346'!R106,'346'!R106,'346'!R106,'346'!R106,U107)</f>
        <v>12</v>
      </c>
      <c r="AB107" s="2">
        <f t="shared" si="19"/>
        <v>0.1</v>
      </c>
      <c r="AC107" s="2">
        <f>CHOOSE(CalNseSrc_DataType,CalSF_NSgamma,'346'!Q106,'346'!Q106,'346'!Q106,'346'!Q106,'346'!Q106,W107)</f>
        <v>0.22</v>
      </c>
      <c r="AD107" s="2">
        <f>CHOOSE(CalNseSrc_DataType,Cal_SF_GamCold,'346'!Q106,'346'!Q106,'346'!Q106,'346'!Q106,'346'!Q106,X107)</f>
        <v>0.12</v>
      </c>
    </row>
  </sheetData>
  <sheetProtection algorithmName="SHA-512" hashValue="814syC+Opt6wdHneGd+cF7J7jkevPac3sU51EsZMaUaByOuSISysOP46fyG7llwCuIdIMwy4z76KFGCYZQMuug==" saltValue="/PJw9Xp9/V8CtYL2806FlQ==" spinCount="100000" sheet="1" objects="1" scenarios="1"/>
  <mergeCells count="1">
    <mergeCell ref="A2:I2"/>
  </mergeCells>
  <conditionalFormatting sqref="T6:AD107">
    <cfRule type="expression" dxfId="20" priority="1">
      <formula>$S6&gt;NumPoints</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AH107"/>
  <sheetViews>
    <sheetView topLeftCell="A4" workbookViewId="0">
      <selection activeCell="AF31" sqref="AF31"/>
    </sheetView>
  </sheetViews>
  <sheetFormatPr defaultColWidth="8.81640625" defaultRowHeight="14.5"/>
  <cols>
    <col min="1" max="1" width="17" style="2" customWidth="1"/>
    <col min="2" max="2" width="6.81640625" style="2" customWidth="1"/>
    <col min="3" max="3" width="6.7265625" style="2" customWidth="1"/>
    <col min="4" max="4" width="5.81640625" style="2" customWidth="1"/>
    <col min="5" max="5" width="8.81640625" style="2" customWidth="1"/>
    <col min="6" max="7" width="12" style="2" customWidth="1"/>
    <col min="8" max="8" width="13.26953125" style="2" customWidth="1"/>
    <col min="9" max="9" width="12.81640625" style="2" customWidth="1"/>
    <col min="10" max="10" width="17" style="78" hidden="1" customWidth="1"/>
    <col min="11" max="11" width="17" style="2" hidden="1" customWidth="1"/>
    <col min="12" max="17" width="8.81640625" style="2" hidden="1" customWidth="1"/>
    <col min="18" max="19" width="14.26953125" style="2" hidden="1" customWidth="1"/>
    <col min="20" max="20" width="16.26953125" style="2" hidden="1" customWidth="1"/>
    <col min="21" max="26" width="8.81640625" style="2" hidden="1" customWidth="1"/>
    <col min="27" max="27" width="0" style="2" hidden="1" customWidth="1"/>
    <col min="28" max="29" width="14.26953125" style="2" hidden="1" customWidth="1"/>
    <col min="30" max="30" width="13.1796875" style="2" hidden="1" customWidth="1"/>
    <col min="31" max="32" width="6.81640625" style="2" customWidth="1"/>
    <col min="33" max="33" width="8.81640625" style="2" customWidth="1"/>
    <col min="34" max="16384" width="8.81640625" style="2"/>
  </cols>
  <sheetData>
    <row r="1" spans="1:34">
      <c r="A1" s="22" t="s">
        <v>237</v>
      </c>
      <c r="B1" s="6"/>
      <c r="C1" s="21" t="s">
        <v>236</v>
      </c>
      <c r="D1" s="21"/>
      <c r="E1" s="23"/>
      <c r="F1" s="23"/>
      <c r="G1" s="23"/>
      <c r="H1" s="23"/>
      <c r="I1" s="24"/>
      <c r="J1" s="20"/>
    </row>
    <row r="2" spans="1:34" s="4" customFormat="1">
      <c r="A2" s="204" t="s">
        <v>201</v>
      </c>
      <c r="B2" s="205"/>
      <c r="C2" s="205"/>
      <c r="D2" s="205"/>
      <c r="E2" s="205"/>
      <c r="F2" s="205"/>
      <c r="G2" s="205"/>
      <c r="H2" s="205"/>
      <c r="I2" s="206"/>
      <c r="J2" s="80"/>
      <c r="AA2" s="4">
        <f>NseSrc_DataType</f>
        <v>1</v>
      </c>
    </row>
    <row r="3" spans="1:34">
      <c r="A3" s="26" t="s">
        <v>194</v>
      </c>
      <c r="B3" s="27"/>
      <c r="C3" s="27"/>
      <c r="D3" s="27"/>
      <c r="E3" s="27"/>
      <c r="F3" s="27"/>
      <c r="G3" s="27"/>
      <c r="H3" s="27"/>
      <c r="I3" s="28"/>
      <c r="J3" s="20"/>
      <c r="S3" s="2">
        <f>CHOOSE(DutType,StartFreqGHz,ConverterInputStart)</f>
        <v>0.1</v>
      </c>
      <c r="AA3" s="2" t="s">
        <v>44</v>
      </c>
      <c r="AD3" s="2" t="s">
        <v>203</v>
      </c>
    </row>
    <row r="4" spans="1:34">
      <c r="A4" s="26" t="s">
        <v>193</v>
      </c>
      <c r="B4" s="27"/>
      <c r="C4" s="27"/>
      <c r="D4" s="27"/>
      <c r="E4" s="27"/>
      <c r="F4" s="27"/>
      <c r="G4" s="27"/>
      <c r="H4" s="27"/>
      <c r="I4" s="28"/>
      <c r="J4" s="20"/>
      <c r="S4" s="2">
        <f>CHOOSE(DutType,FreqStep,InputFreqStep)</f>
        <v>0.52800000000000002</v>
      </c>
      <c r="T4" s="2" t="s">
        <v>202</v>
      </c>
      <c r="U4" s="2" t="s">
        <v>152</v>
      </c>
      <c r="V4" s="2" t="s">
        <v>198</v>
      </c>
      <c r="W4" s="2" t="s">
        <v>199</v>
      </c>
      <c r="X4" s="2" t="s">
        <v>200</v>
      </c>
      <c r="AA4" s="2" t="s">
        <v>41</v>
      </c>
      <c r="AD4" s="2">
        <f>NseSrcGamConf</f>
        <v>0.70710678118654757</v>
      </c>
      <c r="AH4" s="2" t="s">
        <v>0</v>
      </c>
    </row>
    <row r="5" spans="1:34">
      <c r="A5" s="26" t="s">
        <v>192</v>
      </c>
      <c r="B5" s="27"/>
      <c r="C5" s="27"/>
      <c r="D5" s="27"/>
      <c r="E5" s="27"/>
      <c r="F5" s="27"/>
      <c r="G5" s="27"/>
      <c r="H5" s="27"/>
      <c r="I5" s="28"/>
      <c r="J5" s="20"/>
      <c r="S5" s="2">
        <f>CHOOSE(DutType,StopFreqGHz,ConverterInputStop)</f>
        <v>26.5</v>
      </c>
      <c r="T5" s="2" t="s">
        <v>0</v>
      </c>
      <c r="U5" s="25">
        <f>N10</f>
        <v>15.5</v>
      </c>
      <c r="V5" s="25">
        <f>O10</f>
        <v>0.1</v>
      </c>
      <c r="W5" s="25">
        <f>P10</f>
        <v>0.11</v>
      </c>
      <c r="X5" s="25">
        <f>Q10</f>
        <v>0.02</v>
      </c>
      <c r="AA5" s="2" t="s">
        <v>21</v>
      </c>
      <c r="AB5" s="2" t="s">
        <v>24</v>
      </c>
      <c r="AC5" s="2" t="s">
        <v>86</v>
      </c>
      <c r="AD5" s="2" t="s">
        <v>87</v>
      </c>
      <c r="AF5" s="2" t="s">
        <v>0</v>
      </c>
    </row>
    <row r="6" spans="1:34">
      <c r="A6" s="26" t="s">
        <v>190</v>
      </c>
      <c r="B6" s="27"/>
      <c r="C6" s="27"/>
      <c r="D6" s="27"/>
      <c r="E6" s="27"/>
      <c r="F6" s="27"/>
      <c r="G6" s="27"/>
      <c r="H6" s="27"/>
      <c r="I6" s="28"/>
      <c r="J6" s="20"/>
      <c r="S6" s="2">
        <v>1</v>
      </c>
      <c r="T6" s="2">
        <f>S3</f>
        <v>0.1</v>
      </c>
      <c r="U6" s="2">
        <f t="dataTable" ref="U6:X106" dt2D="0" dtr="0" r1="M10"/>
        <v>18.5</v>
      </c>
      <c r="V6" s="2">
        <v>0.1</v>
      </c>
      <c r="W6" s="2">
        <v>0.06</v>
      </c>
      <c r="X6" s="2">
        <v>0.1</v>
      </c>
      <c r="AA6" s="2">
        <f>CHOOSE(NseSrc_DataType,SF_ENR,'346'!C5,'346'!C5,'346'!C5,'346'!C5,'346'!C5,U6)</f>
        <v>5</v>
      </c>
      <c r="AB6" s="2">
        <f t="shared" ref="AB6:AB37" si="0">CHOOSE(ENRU_DataType,SF_ENRU,V6)</f>
        <v>0.1</v>
      </c>
      <c r="AC6" s="2">
        <f>CHOOSE(NseSrc_DataType,SF_NSgamma,'346'!B5,'346'!B5,'346'!B5,'346'!B5,'346'!B5,W6)</f>
        <v>0.1</v>
      </c>
      <c r="AD6" s="2">
        <f>CHOOSE(NseSrc_DataType,SF_GamCold,'346'!B5,'346'!B5,'346'!B5,'346'!B5,'346'!B5,X6)</f>
        <v>1</v>
      </c>
      <c r="AG6" s="2" t="s">
        <v>0</v>
      </c>
    </row>
    <row r="7" spans="1:34">
      <c r="A7" s="26" t="s">
        <v>191</v>
      </c>
      <c r="B7" s="27"/>
      <c r="C7" s="27"/>
      <c r="D7" s="27"/>
      <c r="E7" s="27"/>
      <c r="F7" s="27"/>
      <c r="G7" s="27"/>
      <c r="H7" s="27"/>
      <c r="I7" s="28"/>
      <c r="J7" s="20"/>
      <c r="S7" s="2">
        <f>1+S6</f>
        <v>2</v>
      </c>
      <c r="T7" s="2">
        <f t="shared" ref="T7:T38" si="1">IF($S$4&gt;=0,IF(T6&gt;=$S$5,$S$5+0.0001,T6+$S$4),IF(T6&lt;=$S$5,$S$5-0.0001,T6+$S$4))</f>
        <v>0.628</v>
      </c>
      <c r="U7" s="2">
        <v>18.5</v>
      </c>
      <c r="V7" s="2">
        <v>0.1</v>
      </c>
      <c r="W7" s="2">
        <v>0.06</v>
      </c>
      <c r="X7" s="2">
        <v>0.1</v>
      </c>
      <c r="AA7" s="2">
        <f>CHOOSE(NseSrc_DataType,SF_ENR,'346'!C6,'346'!C6,'346'!C6,'346'!C6,'346'!C6,U7)</f>
        <v>5</v>
      </c>
      <c r="AB7" s="2">
        <f t="shared" si="0"/>
        <v>0.1</v>
      </c>
      <c r="AC7" s="2">
        <f>CHOOSE(NseSrc_DataType,SF_NSgamma,'346'!B6,'346'!B6,'346'!B6,'346'!B6,'346'!B6,W7)</f>
        <v>0.1</v>
      </c>
      <c r="AD7" s="2">
        <f>CHOOSE(NseSrc_DataType,SF_GamCold,'346'!B6,'346'!B6,'346'!B6,'346'!B6,'346'!B6,X7)</f>
        <v>1</v>
      </c>
    </row>
    <row r="8" spans="1:34">
      <c r="A8" s="26" t="s">
        <v>189</v>
      </c>
      <c r="B8" s="27"/>
      <c r="C8" s="27"/>
      <c r="D8" s="27"/>
      <c r="E8" s="27"/>
      <c r="F8" s="27"/>
      <c r="G8" s="27"/>
      <c r="H8" s="27"/>
      <c r="I8" s="28"/>
      <c r="J8" s="20"/>
      <c r="S8" s="2">
        <f t="shared" ref="S8:S71" si="2">1+S7</f>
        <v>3</v>
      </c>
      <c r="T8" s="2">
        <f t="shared" si="1"/>
        <v>1.1560000000000001</v>
      </c>
      <c r="U8" s="2">
        <v>18.5</v>
      </c>
      <c r="V8" s="2">
        <v>0.1</v>
      </c>
      <c r="W8" s="2">
        <v>0.06</v>
      </c>
      <c r="X8" s="2">
        <v>0.1</v>
      </c>
      <c r="AA8" s="2">
        <f>CHOOSE(NseSrc_DataType,SF_ENR,'346'!C7,'346'!C7,'346'!C7,'346'!C7,'346'!C7,U8)</f>
        <v>5</v>
      </c>
      <c r="AB8" s="2">
        <f t="shared" si="0"/>
        <v>0.1</v>
      </c>
      <c r="AC8" s="2">
        <f>CHOOSE(NseSrc_DataType,SF_NSgamma,'346'!B7,'346'!B7,'346'!B7,'346'!B7,'346'!B7,W8)</f>
        <v>0.1</v>
      </c>
      <c r="AD8" s="2">
        <f>CHOOSE(NseSrc_DataType,SF_GamCold,'346'!B7,'346'!B7,'346'!B7,'346'!B7,'346'!B7,X8)</f>
        <v>1</v>
      </c>
    </row>
    <row r="9" spans="1:34">
      <c r="A9" s="26" t="s">
        <v>181</v>
      </c>
      <c r="B9" s="27"/>
      <c r="C9" s="27" t="s">
        <v>152</v>
      </c>
      <c r="D9" s="27"/>
      <c r="E9" s="27" t="s">
        <v>182</v>
      </c>
      <c r="F9" s="27" t="s">
        <v>183</v>
      </c>
      <c r="G9" s="27" t="s">
        <v>183</v>
      </c>
      <c r="H9" s="27" t="s">
        <v>183</v>
      </c>
      <c r="I9" s="28" t="s">
        <v>183</v>
      </c>
      <c r="J9" s="2" t="s">
        <v>309</v>
      </c>
      <c r="K9" s="2" t="s">
        <v>196</v>
      </c>
      <c r="L9" s="2" t="s">
        <v>319</v>
      </c>
      <c r="M9" s="2" t="s">
        <v>197</v>
      </c>
      <c r="N9" s="2" t="s">
        <v>152</v>
      </c>
      <c r="O9" s="2" t="s">
        <v>198</v>
      </c>
      <c r="P9" s="2" t="s">
        <v>199</v>
      </c>
      <c r="Q9" s="2" t="s">
        <v>200</v>
      </c>
      <c r="S9" s="2">
        <f t="shared" si="2"/>
        <v>4</v>
      </c>
      <c r="T9" s="2">
        <f t="shared" si="1"/>
        <v>1.6840000000000002</v>
      </c>
      <c r="U9" s="2">
        <v>18.399999999999999</v>
      </c>
      <c r="V9" s="2">
        <v>0.1</v>
      </c>
      <c r="W9" s="2">
        <v>0.05</v>
      </c>
      <c r="X9" s="2">
        <v>0.09</v>
      </c>
      <c r="AA9" s="2">
        <f>CHOOSE(NseSrc_DataType,SF_ENR,'346'!C8,'346'!C8,'346'!C8,'346'!C8,'346'!C8,U9)</f>
        <v>5</v>
      </c>
      <c r="AB9" s="2">
        <f t="shared" si="0"/>
        <v>0.1</v>
      </c>
      <c r="AC9" s="2">
        <f>CHOOSE(NseSrc_DataType,SF_NSgamma,'346'!B8,'346'!B8,'346'!B8,'346'!B8,'346'!B8,W9)</f>
        <v>0.1</v>
      </c>
      <c r="AD9" s="2">
        <f>CHOOSE(NseSrc_DataType,SF_GamCold,'346'!B8,'346'!B8,'346'!B8,'346'!B8,'346'!B8,X9)</f>
        <v>1</v>
      </c>
    </row>
    <row r="10" spans="1:34">
      <c r="A10" s="26"/>
      <c r="B10" s="27"/>
      <c r="C10" s="27"/>
      <c r="D10" s="27"/>
      <c r="E10" s="27"/>
      <c r="F10" s="27" t="s">
        <v>184</v>
      </c>
      <c r="G10" s="27" t="s">
        <v>184</v>
      </c>
      <c r="H10" s="27" t="s">
        <v>185</v>
      </c>
      <c r="I10" s="28" t="s">
        <v>185</v>
      </c>
      <c r="J10" s="20" t="s">
        <v>310</v>
      </c>
      <c r="K10" s="2" t="s">
        <v>195</v>
      </c>
      <c r="L10" s="2">
        <f>MIN(L12:L107)</f>
        <v>0.5</v>
      </c>
      <c r="M10" s="2">
        <v>22.5</v>
      </c>
      <c r="N10" s="2">
        <f>SUM(N12:N65)/$M11</f>
        <v>15.5</v>
      </c>
      <c r="O10" s="2">
        <f t="shared" ref="O10:Q10" si="3">SUM(O12:O65)/$M11</f>
        <v>0.1</v>
      </c>
      <c r="P10" s="2">
        <f t="shared" si="3"/>
        <v>0.11</v>
      </c>
      <c r="Q10" s="2">
        <f t="shared" si="3"/>
        <v>0.02</v>
      </c>
      <c r="S10" s="2">
        <f t="shared" si="2"/>
        <v>5</v>
      </c>
      <c r="T10" s="2">
        <f t="shared" si="1"/>
        <v>2.2120000000000002</v>
      </c>
      <c r="U10" s="2">
        <v>18.399999999999999</v>
      </c>
      <c r="V10" s="2">
        <v>0.1</v>
      </c>
      <c r="W10" s="2">
        <v>0.05</v>
      </c>
      <c r="X10" s="2">
        <v>0.09</v>
      </c>
      <c r="AA10" s="2">
        <f>CHOOSE(NseSrc_DataType,SF_ENR,'346'!C9,'346'!C9,'346'!C9,'346'!C9,'346'!C9,U10)</f>
        <v>5</v>
      </c>
      <c r="AB10" s="2">
        <f t="shared" si="0"/>
        <v>0.1</v>
      </c>
      <c r="AC10" s="2">
        <f>CHOOSE(NseSrc_DataType,SF_NSgamma,'346'!B9,'346'!B9,'346'!B9,'346'!B9,'346'!B9,W10)</f>
        <v>0.1</v>
      </c>
      <c r="AD10" s="2">
        <f>CHOOSE(NseSrc_DataType,SF_GamCold,'346'!B9,'346'!B9,'346'!B9,'346'!B9,'346'!B9,X10)</f>
        <v>1</v>
      </c>
    </row>
    <row r="11" spans="1:34">
      <c r="A11" s="84" t="s">
        <v>0</v>
      </c>
      <c r="B11" s="83" t="s">
        <v>313</v>
      </c>
      <c r="C11" s="27" t="s">
        <v>113</v>
      </c>
      <c r="D11" s="27"/>
      <c r="E11" s="27" t="s">
        <v>113</v>
      </c>
      <c r="F11" s="27" t="s">
        <v>186</v>
      </c>
      <c r="G11" s="27" t="s">
        <v>187</v>
      </c>
      <c r="H11" s="27" t="s">
        <v>186</v>
      </c>
      <c r="I11" s="28" t="s">
        <v>188</v>
      </c>
      <c r="J11" s="20"/>
      <c r="K11" s="2">
        <f>IF(UPPER(TRIM(A11))="MHZ",0.001,IF((UPPER(TRIM(A11)))="GHZ",1,IF(UPPER(TRIM(A11))="KHZ",0.000001,0.000000001)))</f>
        <v>1.0000000000000001E-9</v>
      </c>
      <c r="L11" s="2" t="s">
        <v>318</v>
      </c>
      <c r="M11" s="2">
        <f>SUM(M12:M107)</f>
        <v>2</v>
      </c>
      <c r="S11" s="2">
        <f t="shared" si="2"/>
        <v>6</v>
      </c>
      <c r="T11" s="2">
        <f t="shared" si="1"/>
        <v>2.74</v>
      </c>
      <c r="U11" s="2">
        <v>18.3</v>
      </c>
      <c r="V11" s="2">
        <v>0.1</v>
      </c>
      <c r="W11" s="2">
        <v>0.04</v>
      </c>
      <c r="X11" s="2">
        <v>0.09</v>
      </c>
      <c r="AA11" s="2">
        <f>CHOOSE(NseSrc_DataType,SF_ENR,'346'!C10,'346'!C10,'346'!C10,'346'!C10,'346'!C10,U11)</f>
        <v>5</v>
      </c>
      <c r="AB11" s="2">
        <f t="shared" si="0"/>
        <v>0.1</v>
      </c>
      <c r="AC11" s="2">
        <f>CHOOSE(NseSrc_DataType,SF_NSgamma,'346'!B10,'346'!B10,'346'!B10,'346'!B10,'346'!B10,W11)</f>
        <v>0.1</v>
      </c>
      <c r="AD11" s="2">
        <f>CHOOSE(NseSrc_DataType,SF_GamCold,'346'!B10,'346'!B10,'346'!B10,'346'!B10,'346'!B10,X11)</f>
        <v>1</v>
      </c>
    </row>
    <row r="12" spans="1:34">
      <c r="A12" s="11">
        <v>10</v>
      </c>
      <c r="B12" s="11" t="s">
        <v>305</v>
      </c>
      <c r="C12" s="11">
        <v>18.5</v>
      </c>
      <c r="D12" s="29"/>
      <c r="E12" s="11">
        <v>0.1</v>
      </c>
      <c r="F12" s="11">
        <v>0.06</v>
      </c>
      <c r="G12" s="29">
        <v>30</v>
      </c>
      <c r="H12" s="11">
        <v>0.1</v>
      </c>
      <c r="I12" s="29">
        <v>60</v>
      </c>
      <c r="J12" s="20">
        <f>IF(UPPER(TRIM(B12))="MHZ",0.001,IF((UPPER(TRIM(B12)))="GHZ",1,IF(UPPER(TRIM(B12))="KHZ",0.000001,0.000000001)))</f>
        <v>1E-3</v>
      </c>
      <c r="K12" s="2">
        <f>IF(A12&gt;0,A12*J12,1000)</f>
        <v>0.01</v>
      </c>
      <c r="L12" s="2">
        <f>ABS(M$10-K12)</f>
        <v>22.49</v>
      </c>
      <c r="M12" s="2">
        <f>IF(L12=L$10,1,0)</f>
        <v>0</v>
      </c>
      <c r="N12" s="2">
        <f>$M12*C12</f>
        <v>0</v>
      </c>
      <c r="O12" s="2">
        <f t="shared" ref="O12:O27" si="4">$M12*E12</f>
        <v>0</v>
      </c>
      <c r="P12" s="2">
        <f t="shared" ref="P12:P27" si="5">$M12*F12</f>
        <v>0</v>
      </c>
      <c r="Q12" s="2">
        <f>$M12*H12</f>
        <v>0</v>
      </c>
      <c r="S12" s="2">
        <f t="shared" si="2"/>
        <v>7</v>
      </c>
      <c r="T12" s="2">
        <f t="shared" si="1"/>
        <v>3.2680000000000002</v>
      </c>
      <c r="U12" s="2">
        <v>18.3</v>
      </c>
      <c r="V12" s="2">
        <v>0.1</v>
      </c>
      <c r="W12" s="2">
        <v>0.04</v>
      </c>
      <c r="X12" s="2">
        <v>0.09</v>
      </c>
      <c r="AA12" s="2">
        <f>CHOOSE(NseSrc_DataType,SF_ENR,'346'!C11,'346'!C11,'346'!C11,'346'!C11,'346'!C11,U12)</f>
        <v>5</v>
      </c>
      <c r="AB12" s="2">
        <f t="shared" si="0"/>
        <v>0.1</v>
      </c>
      <c r="AC12" s="2">
        <f>CHOOSE(NseSrc_DataType,SF_NSgamma,'346'!B11,'346'!B11,'346'!B11,'346'!B11,'346'!B11,W12)</f>
        <v>0.1</v>
      </c>
      <c r="AD12" s="2">
        <f>CHOOSE(NseSrc_DataType,SF_GamCold,'346'!B11,'346'!B11,'346'!B11,'346'!B11,'346'!B11,X12)</f>
        <v>1</v>
      </c>
    </row>
    <row r="13" spans="1:34">
      <c r="A13" s="11">
        <v>100</v>
      </c>
      <c r="B13" s="11" t="s">
        <v>305</v>
      </c>
      <c r="C13" s="11">
        <v>18.5</v>
      </c>
      <c r="D13" s="29"/>
      <c r="E13" s="11">
        <v>0.1</v>
      </c>
      <c r="F13" s="11">
        <v>0.06</v>
      </c>
      <c r="G13" s="29">
        <v>30</v>
      </c>
      <c r="H13" s="11">
        <v>0.1</v>
      </c>
      <c r="I13" s="29">
        <v>60</v>
      </c>
      <c r="J13" s="20">
        <f t="shared" ref="J13:J76" si="6">IF(UPPER(TRIM(B13))="MHZ",0.001,IF((UPPER(TRIM(B13)))="GHZ",1,IF(UPPER(TRIM(B13))="KHZ",0.000001,0.000000001)))</f>
        <v>1E-3</v>
      </c>
      <c r="K13" s="2">
        <f t="shared" ref="K13:K76" si="7">IF(A13&gt;0,A13*J13,1000)</f>
        <v>0.1</v>
      </c>
      <c r="L13" s="2">
        <f t="shared" ref="L13:L76" si="8">ABS(M$10-K13)</f>
        <v>22.4</v>
      </c>
      <c r="M13" s="2">
        <f t="shared" ref="M13:M76" si="9">IF(L13=L$10,1,0)</f>
        <v>0</v>
      </c>
      <c r="N13" s="2">
        <f t="shared" ref="N13:N65" si="10">$M13*C13</f>
        <v>0</v>
      </c>
      <c r="O13" s="2">
        <f t="shared" si="4"/>
        <v>0</v>
      </c>
      <c r="P13" s="2">
        <f t="shared" si="5"/>
        <v>0</v>
      </c>
      <c r="Q13" s="2">
        <f t="shared" ref="Q13:Q65" si="11">$M13*H13</f>
        <v>0</v>
      </c>
      <c r="S13" s="2">
        <f t="shared" si="2"/>
        <v>8</v>
      </c>
      <c r="T13" s="2">
        <f t="shared" si="1"/>
        <v>3.7960000000000003</v>
      </c>
      <c r="U13" s="2">
        <v>18.192</v>
      </c>
      <c r="V13" s="2">
        <v>0.1</v>
      </c>
      <c r="W13" s="2">
        <v>0.04</v>
      </c>
      <c r="X13" s="2">
        <v>0.09</v>
      </c>
      <c r="AA13" s="2">
        <f>CHOOSE(NseSrc_DataType,SF_ENR,'346'!C12,'346'!C12,'346'!C12,'346'!C12,'346'!C12,U13)</f>
        <v>5</v>
      </c>
      <c r="AB13" s="2">
        <f t="shared" si="0"/>
        <v>0.1</v>
      </c>
      <c r="AC13" s="2">
        <f>CHOOSE(NseSrc_DataType,SF_NSgamma,'346'!B12,'346'!B12,'346'!B12,'346'!B12,'346'!B12,W13)</f>
        <v>0.1</v>
      </c>
      <c r="AD13" s="2">
        <f>CHOOSE(NseSrc_DataType,SF_GamCold,'346'!B12,'346'!B12,'346'!B12,'346'!B12,'346'!B12,X13)</f>
        <v>1</v>
      </c>
    </row>
    <row r="14" spans="1:34">
      <c r="A14" s="11">
        <v>1000</v>
      </c>
      <c r="B14" s="11" t="s">
        <v>305</v>
      </c>
      <c r="C14" s="11">
        <v>18.5</v>
      </c>
      <c r="D14" s="29"/>
      <c r="E14" s="11">
        <v>0.1</v>
      </c>
      <c r="F14" s="11">
        <v>0.06</v>
      </c>
      <c r="G14" s="29">
        <v>30</v>
      </c>
      <c r="H14" s="11">
        <v>0.1</v>
      </c>
      <c r="I14" s="29">
        <v>60</v>
      </c>
      <c r="J14" s="20">
        <f t="shared" si="6"/>
        <v>1E-3</v>
      </c>
      <c r="K14" s="2">
        <f t="shared" si="7"/>
        <v>1</v>
      </c>
      <c r="L14" s="2">
        <f t="shared" si="8"/>
        <v>21.5</v>
      </c>
      <c r="M14" s="2">
        <f t="shared" si="9"/>
        <v>0</v>
      </c>
      <c r="N14" s="2">
        <f t="shared" si="10"/>
        <v>0</v>
      </c>
      <c r="O14" s="2">
        <f t="shared" si="4"/>
        <v>0</v>
      </c>
      <c r="P14" s="2">
        <f t="shared" si="5"/>
        <v>0</v>
      </c>
      <c r="Q14" s="2">
        <f t="shared" si="11"/>
        <v>0</v>
      </c>
      <c r="S14" s="2">
        <f t="shared" si="2"/>
        <v>9</v>
      </c>
      <c r="T14" s="2">
        <f t="shared" si="1"/>
        <v>4.3239999999999998</v>
      </c>
      <c r="U14" s="2">
        <v>18.192</v>
      </c>
      <c r="V14" s="2">
        <v>0.1</v>
      </c>
      <c r="W14" s="2">
        <v>0.04</v>
      </c>
      <c r="X14" s="2">
        <v>0.09</v>
      </c>
      <c r="AA14" s="2">
        <f>CHOOSE(NseSrc_DataType,SF_ENR,'346'!C13,'346'!C13,'346'!C13,'346'!C13,'346'!C13,U14)</f>
        <v>5</v>
      </c>
      <c r="AB14" s="2">
        <f t="shared" si="0"/>
        <v>0.1</v>
      </c>
      <c r="AC14" s="2">
        <f>CHOOSE(NseSrc_DataType,SF_NSgamma,'346'!B13,'346'!B13,'346'!B13,'346'!B13,'346'!B13,W14)</f>
        <v>0.1</v>
      </c>
      <c r="AD14" s="2">
        <f>CHOOSE(NseSrc_DataType,SF_GamCold,'346'!B13,'346'!B13,'346'!B13,'346'!B13,'346'!B13,X14)</f>
        <v>1</v>
      </c>
    </row>
    <row r="15" spans="1:34">
      <c r="A15" s="11">
        <v>2000</v>
      </c>
      <c r="B15" s="11" t="s">
        <v>305</v>
      </c>
      <c r="C15" s="11">
        <v>18.399999999999999</v>
      </c>
      <c r="D15" s="29"/>
      <c r="E15" s="11">
        <v>0.1</v>
      </c>
      <c r="F15" s="11">
        <v>0.05</v>
      </c>
      <c r="G15" s="29">
        <v>30</v>
      </c>
      <c r="H15" s="11">
        <v>0.09</v>
      </c>
      <c r="I15" s="29">
        <v>60</v>
      </c>
      <c r="J15" s="20">
        <f t="shared" si="6"/>
        <v>1E-3</v>
      </c>
      <c r="K15" s="2">
        <f t="shared" si="7"/>
        <v>2</v>
      </c>
      <c r="L15" s="2">
        <f t="shared" si="8"/>
        <v>20.5</v>
      </c>
      <c r="M15" s="2">
        <f t="shared" si="9"/>
        <v>0</v>
      </c>
      <c r="N15" s="2">
        <f t="shared" si="10"/>
        <v>0</v>
      </c>
      <c r="O15" s="2">
        <f t="shared" si="4"/>
        <v>0</v>
      </c>
      <c r="P15" s="2">
        <f t="shared" si="5"/>
        <v>0</v>
      </c>
      <c r="Q15" s="2">
        <f t="shared" si="11"/>
        <v>0</v>
      </c>
      <c r="S15" s="2">
        <f t="shared" si="2"/>
        <v>10</v>
      </c>
      <c r="T15" s="2">
        <f t="shared" si="1"/>
        <v>4.8520000000000003</v>
      </c>
      <c r="U15" s="2">
        <v>18</v>
      </c>
      <c r="V15" s="2">
        <v>0.1</v>
      </c>
      <c r="W15" s="2">
        <v>0.04</v>
      </c>
      <c r="X15" s="2">
        <v>0.08</v>
      </c>
      <c r="AA15" s="2">
        <f>CHOOSE(NseSrc_DataType,SF_ENR,'346'!C14,'346'!C14,'346'!C14,'346'!C14,'346'!C14,U15)</f>
        <v>5</v>
      </c>
      <c r="AB15" s="2">
        <f t="shared" si="0"/>
        <v>0.1</v>
      </c>
      <c r="AC15" s="2">
        <f>CHOOSE(NseSrc_DataType,SF_NSgamma,'346'!B14,'346'!B14,'346'!B14,'346'!B14,'346'!B14,W15)</f>
        <v>0.1</v>
      </c>
      <c r="AD15" s="2">
        <f>CHOOSE(NseSrc_DataType,SF_GamCold,'346'!B14,'346'!B14,'346'!B14,'346'!B14,'346'!B14,X15)</f>
        <v>1</v>
      </c>
    </row>
    <row r="16" spans="1:34">
      <c r="A16" s="11">
        <v>3000</v>
      </c>
      <c r="B16" s="11" t="s">
        <v>305</v>
      </c>
      <c r="C16" s="11">
        <v>18.3</v>
      </c>
      <c r="D16" s="29"/>
      <c r="E16" s="11">
        <v>0.1</v>
      </c>
      <c r="F16" s="11">
        <v>0.04</v>
      </c>
      <c r="G16" s="29">
        <v>30</v>
      </c>
      <c r="H16" s="11">
        <v>0.09</v>
      </c>
      <c r="I16" s="29">
        <v>60</v>
      </c>
      <c r="J16" s="20">
        <f t="shared" si="6"/>
        <v>1E-3</v>
      </c>
      <c r="K16" s="2">
        <f t="shared" si="7"/>
        <v>3</v>
      </c>
      <c r="L16" s="2">
        <f t="shared" si="8"/>
        <v>19.5</v>
      </c>
      <c r="M16" s="2">
        <f t="shared" si="9"/>
        <v>0</v>
      </c>
      <c r="N16" s="2">
        <f t="shared" si="10"/>
        <v>0</v>
      </c>
      <c r="O16" s="2">
        <f t="shared" si="4"/>
        <v>0</v>
      </c>
      <c r="P16" s="2">
        <f t="shared" si="5"/>
        <v>0</v>
      </c>
      <c r="Q16" s="2">
        <f t="shared" si="11"/>
        <v>0</v>
      </c>
      <c r="S16" s="2">
        <f t="shared" si="2"/>
        <v>11</v>
      </c>
      <c r="T16" s="2">
        <f t="shared" si="1"/>
        <v>5.3800000000000008</v>
      </c>
      <c r="U16" s="2">
        <v>18</v>
      </c>
      <c r="V16" s="2">
        <v>0.1</v>
      </c>
      <c r="W16" s="2">
        <v>0.04</v>
      </c>
      <c r="X16" s="2">
        <v>0.08</v>
      </c>
      <c r="AA16" s="2">
        <f>CHOOSE(NseSrc_DataType,SF_ENR,'346'!C15,'346'!C15,'346'!C15,'346'!C15,'346'!C15,U16)</f>
        <v>5</v>
      </c>
      <c r="AB16" s="2">
        <f t="shared" si="0"/>
        <v>0.1</v>
      </c>
      <c r="AC16" s="2">
        <f>CHOOSE(NseSrc_DataType,SF_NSgamma,'346'!B15,'346'!B15,'346'!B15,'346'!B15,'346'!B15,W16)</f>
        <v>0.1</v>
      </c>
      <c r="AD16" s="2">
        <f>CHOOSE(NseSrc_DataType,SF_GamCold,'346'!B15,'346'!B15,'346'!B15,'346'!B15,'346'!B15,X16)</f>
        <v>1</v>
      </c>
    </row>
    <row r="17" spans="1:31">
      <c r="A17" s="11">
        <v>4000</v>
      </c>
      <c r="B17" s="11" t="s">
        <v>305</v>
      </c>
      <c r="C17" s="11">
        <v>18.192</v>
      </c>
      <c r="D17" s="29"/>
      <c r="E17" s="11">
        <v>0.1</v>
      </c>
      <c r="F17" s="11">
        <v>0.04</v>
      </c>
      <c r="G17" s="29">
        <v>30</v>
      </c>
      <c r="H17" s="11">
        <v>0.09</v>
      </c>
      <c r="I17" s="29">
        <v>60</v>
      </c>
      <c r="J17" s="20">
        <f t="shared" si="6"/>
        <v>1E-3</v>
      </c>
      <c r="K17" s="2">
        <f t="shared" si="7"/>
        <v>4</v>
      </c>
      <c r="L17" s="2">
        <f t="shared" si="8"/>
        <v>18.5</v>
      </c>
      <c r="M17" s="2">
        <f t="shared" si="9"/>
        <v>0</v>
      </c>
      <c r="N17" s="2">
        <f t="shared" si="10"/>
        <v>0</v>
      </c>
      <c r="O17" s="2">
        <f t="shared" si="4"/>
        <v>0</v>
      </c>
      <c r="P17" s="2">
        <f t="shared" si="5"/>
        <v>0</v>
      </c>
      <c r="Q17" s="2">
        <f t="shared" si="11"/>
        <v>0</v>
      </c>
      <c r="S17" s="2">
        <f t="shared" si="2"/>
        <v>12</v>
      </c>
      <c r="T17" s="2">
        <f t="shared" si="1"/>
        <v>5.9080000000000013</v>
      </c>
      <c r="U17" s="2">
        <v>17.8</v>
      </c>
      <c r="V17" s="2">
        <v>0.1</v>
      </c>
      <c r="W17" s="2">
        <v>0.05</v>
      </c>
      <c r="X17" s="2">
        <v>0.08</v>
      </c>
      <c r="AA17" s="2">
        <f>CHOOSE(NseSrc_DataType,SF_ENR,'346'!C16,'346'!C16,'346'!C16,'346'!C16,'346'!C16,U17)</f>
        <v>5</v>
      </c>
      <c r="AB17" s="2">
        <f t="shared" si="0"/>
        <v>0.1</v>
      </c>
      <c r="AC17" s="2">
        <f>CHOOSE(NseSrc_DataType,SF_NSgamma,'346'!B16,'346'!B16,'346'!B16,'346'!B16,'346'!B16,W17)</f>
        <v>0.1</v>
      </c>
      <c r="AD17" s="2">
        <f>CHOOSE(NseSrc_DataType,SF_GamCold,'346'!B16,'346'!B16,'346'!B16,'346'!B16,'346'!B16,X17)</f>
        <v>1</v>
      </c>
      <c r="AE17" s="2" t="s">
        <v>0</v>
      </c>
    </row>
    <row r="18" spans="1:31">
      <c r="A18" s="11">
        <v>5000</v>
      </c>
      <c r="B18" s="11" t="s">
        <v>305</v>
      </c>
      <c r="C18" s="11">
        <v>18</v>
      </c>
      <c r="D18" s="29"/>
      <c r="E18" s="11">
        <v>0.1</v>
      </c>
      <c r="F18" s="11">
        <v>0.04</v>
      </c>
      <c r="G18" s="29">
        <v>30</v>
      </c>
      <c r="H18" s="11">
        <v>0.08</v>
      </c>
      <c r="I18" s="29">
        <v>60</v>
      </c>
      <c r="J18" s="20">
        <f t="shared" si="6"/>
        <v>1E-3</v>
      </c>
      <c r="K18" s="2">
        <f t="shared" si="7"/>
        <v>5</v>
      </c>
      <c r="L18" s="2">
        <f t="shared" si="8"/>
        <v>17.5</v>
      </c>
      <c r="M18" s="2">
        <f t="shared" si="9"/>
        <v>0</v>
      </c>
      <c r="N18" s="2">
        <f t="shared" si="10"/>
        <v>0</v>
      </c>
      <c r="O18" s="2">
        <f t="shared" si="4"/>
        <v>0</v>
      </c>
      <c r="P18" s="2">
        <f t="shared" si="5"/>
        <v>0</v>
      </c>
      <c r="Q18" s="2">
        <f t="shared" si="11"/>
        <v>0</v>
      </c>
      <c r="S18" s="2">
        <f t="shared" si="2"/>
        <v>13</v>
      </c>
      <c r="T18" s="2">
        <f t="shared" si="1"/>
        <v>6.4360000000000017</v>
      </c>
      <c r="U18" s="2">
        <v>17.8</v>
      </c>
      <c r="V18" s="2">
        <v>0.1</v>
      </c>
      <c r="W18" s="2">
        <v>0.05</v>
      </c>
      <c r="X18" s="2">
        <v>0.08</v>
      </c>
      <c r="AA18" s="2">
        <f>CHOOSE(NseSrc_DataType,SF_ENR,'346'!C17,'346'!C17,'346'!C17,'346'!C17,'346'!C17,U18)</f>
        <v>5</v>
      </c>
      <c r="AB18" s="2">
        <f t="shared" si="0"/>
        <v>0.1</v>
      </c>
      <c r="AC18" s="2">
        <f>CHOOSE(NseSrc_DataType,SF_NSgamma,'346'!B17,'346'!B17,'346'!B17,'346'!B17,'346'!B17,W18)</f>
        <v>0.1</v>
      </c>
      <c r="AD18" s="2">
        <f>CHOOSE(NseSrc_DataType,SF_GamCold,'346'!B17,'346'!B17,'346'!B17,'346'!B17,'346'!B17,X18)</f>
        <v>1</v>
      </c>
    </row>
    <row r="19" spans="1:31">
      <c r="A19" s="11">
        <v>6000</v>
      </c>
      <c r="B19" s="11" t="s">
        <v>305</v>
      </c>
      <c r="C19" s="11">
        <v>17.8</v>
      </c>
      <c r="D19" s="29"/>
      <c r="E19" s="11">
        <v>0.1</v>
      </c>
      <c r="F19" s="11">
        <v>0.05</v>
      </c>
      <c r="G19" s="29">
        <v>30</v>
      </c>
      <c r="H19" s="11">
        <v>0.08</v>
      </c>
      <c r="I19" s="29">
        <v>60</v>
      </c>
      <c r="J19" s="20">
        <f t="shared" si="6"/>
        <v>1E-3</v>
      </c>
      <c r="K19" s="2">
        <f t="shared" si="7"/>
        <v>6</v>
      </c>
      <c r="L19" s="2">
        <f t="shared" si="8"/>
        <v>16.5</v>
      </c>
      <c r="M19" s="2">
        <f t="shared" si="9"/>
        <v>0</v>
      </c>
      <c r="N19" s="2">
        <f t="shared" si="10"/>
        <v>0</v>
      </c>
      <c r="O19" s="2">
        <f t="shared" si="4"/>
        <v>0</v>
      </c>
      <c r="P19" s="2">
        <f t="shared" si="5"/>
        <v>0</v>
      </c>
      <c r="Q19" s="2">
        <f t="shared" si="11"/>
        <v>0</v>
      </c>
      <c r="S19" s="2">
        <f t="shared" si="2"/>
        <v>14</v>
      </c>
      <c r="T19" s="2">
        <f t="shared" si="1"/>
        <v>6.9640000000000022</v>
      </c>
      <c r="U19" s="2">
        <v>17.600000000000001</v>
      </c>
      <c r="V19" s="2">
        <v>0.1</v>
      </c>
      <c r="W19" s="2">
        <v>0.05</v>
      </c>
      <c r="X19" s="2">
        <v>0.08</v>
      </c>
      <c r="AA19" s="2">
        <f>CHOOSE(NseSrc_DataType,SF_ENR,'346'!C18,'346'!C18,'346'!C18,'346'!C18,'346'!C18,U19)</f>
        <v>5</v>
      </c>
      <c r="AB19" s="2">
        <f t="shared" si="0"/>
        <v>0.1</v>
      </c>
      <c r="AC19" s="2">
        <f>CHOOSE(NseSrc_DataType,SF_NSgamma,'346'!B18,'346'!B18,'346'!B18,'346'!B18,'346'!B18,W19)</f>
        <v>0.1</v>
      </c>
      <c r="AD19" s="2">
        <f>CHOOSE(NseSrc_DataType,SF_GamCold,'346'!B18,'346'!B18,'346'!B18,'346'!B18,'346'!B18,X19)</f>
        <v>1</v>
      </c>
    </row>
    <row r="20" spans="1:31">
      <c r="A20" s="11">
        <v>7000</v>
      </c>
      <c r="B20" s="11" t="s">
        <v>305</v>
      </c>
      <c r="C20" s="11">
        <v>17.600000000000001</v>
      </c>
      <c r="D20" s="29"/>
      <c r="E20" s="11">
        <v>0.1</v>
      </c>
      <c r="F20" s="11">
        <v>0.05</v>
      </c>
      <c r="G20" s="29">
        <v>30</v>
      </c>
      <c r="H20" s="11">
        <v>0.08</v>
      </c>
      <c r="I20" s="29">
        <v>60</v>
      </c>
      <c r="J20" s="20">
        <f t="shared" si="6"/>
        <v>1E-3</v>
      </c>
      <c r="K20" s="2">
        <f t="shared" si="7"/>
        <v>7</v>
      </c>
      <c r="L20" s="2">
        <f t="shared" si="8"/>
        <v>15.5</v>
      </c>
      <c r="M20" s="2">
        <f t="shared" si="9"/>
        <v>0</v>
      </c>
      <c r="N20" s="2">
        <f t="shared" si="10"/>
        <v>0</v>
      </c>
      <c r="O20" s="2">
        <f t="shared" si="4"/>
        <v>0</v>
      </c>
      <c r="P20" s="2">
        <f t="shared" si="5"/>
        <v>0</v>
      </c>
      <c r="Q20" s="2">
        <f t="shared" si="11"/>
        <v>0</v>
      </c>
      <c r="S20" s="2">
        <f t="shared" si="2"/>
        <v>15</v>
      </c>
      <c r="T20" s="2">
        <f t="shared" si="1"/>
        <v>7.4920000000000027</v>
      </c>
      <c r="U20" s="2">
        <v>17.600000000000001</v>
      </c>
      <c r="V20" s="2">
        <v>0.1</v>
      </c>
      <c r="W20" s="2">
        <v>0.05</v>
      </c>
      <c r="X20" s="2">
        <v>0.08</v>
      </c>
      <c r="AA20" s="2">
        <f>CHOOSE(NseSrc_DataType,SF_ENR,'346'!C19,'346'!C19,'346'!C19,'346'!C19,'346'!C19,U20)</f>
        <v>5</v>
      </c>
      <c r="AB20" s="2">
        <f t="shared" si="0"/>
        <v>0.1</v>
      </c>
      <c r="AC20" s="2">
        <f>CHOOSE(NseSrc_DataType,SF_NSgamma,'346'!B19,'346'!B19,'346'!B19,'346'!B19,'346'!B19,W20)</f>
        <v>0.1</v>
      </c>
      <c r="AD20" s="2">
        <f>CHOOSE(NseSrc_DataType,SF_GamCold,'346'!B19,'346'!B19,'346'!B19,'346'!B19,'346'!B19,X20)</f>
        <v>1</v>
      </c>
    </row>
    <row r="21" spans="1:31">
      <c r="A21" s="11">
        <v>8000</v>
      </c>
      <c r="B21" s="11" t="s">
        <v>305</v>
      </c>
      <c r="C21" s="11">
        <v>17.5</v>
      </c>
      <c r="D21" s="29"/>
      <c r="E21" s="11">
        <v>0.1</v>
      </c>
      <c r="F21" s="11">
        <v>0.05</v>
      </c>
      <c r="G21" s="29">
        <v>30</v>
      </c>
      <c r="H21" s="11">
        <v>7.0000000000000007E-2</v>
      </c>
      <c r="I21" s="29">
        <v>60</v>
      </c>
      <c r="J21" s="20">
        <f t="shared" si="6"/>
        <v>1E-3</v>
      </c>
      <c r="K21" s="2">
        <f t="shared" si="7"/>
        <v>8</v>
      </c>
      <c r="L21" s="2">
        <f t="shared" si="8"/>
        <v>14.5</v>
      </c>
      <c r="M21" s="2">
        <f t="shared" si="9"/>
        <v>0</v>
      </c>
      <c r="N21" s="2">
        <f t="shared" si="10"/>
        <v>0</v>
      </c>
      <c r="O21" s="2">
        <f t="shared" si="4"/>
        <v>0</v>
      </c>
      <c r="P21" s="2">
        <f t="shared" si="5"/>
        <v>0</v>
      </c>
      <c r="Q21" s="2">
        <f t="shared" si="11"/>
        <v>0</v>
      </c>
      <c r="S21" s="2">
        <f t="shared" si="2"/>
        <v>16</v>
      </c>
      <c r="T21" s="2">
        <f t="shared" si="1"/>
        <v>8.0200000000000031</v>
      </c>
      <c r="U21" s="2">
        <v>17.5</v>
      </c>
      <c r="V21" s="2">
        <v>0.1</v>
      </c>
      <c r="W21" s="2">
        <v>0.05</v>
      </c>
      <c r="X21" s="2">
        <v>7.0000000000000007E-2</v>
      </c>
      <c r="AA21" s="2">
        <f>CHOOSE(NseSrc_DataType,SF_ENR,'346'!C20,'346'!C20,'346'!C20,'346'!C20,'346'!C20,U21)</f>
        <v>5</v>
      </c>
      <c r="AB21" s="2">
        <f t="shared" si="0"/>
        <v>0.1</v>
      </c>
      <c r="AC21" s="2">
        <f>CHOOSE(NseSrc_DataType,SF_NSgamma,'346'!B20,'346'!B20,'346'!B20,'346'!B20,'346'!B20,W21)</f>
        <v>0.1</v>
      </c>
      <c r="AD21" s="2">
        <f>CHOOSE(NseSrc_DataType,SF_GamCold,'346'!B20,'346'!B20,'346'!B20,'346'!B20,'346'!B20,X21)</f>
        <v>1</v>
      </c>
    </row>
    <row r="22" spans="1:31">
      <c r="A22" s="11">
        <v>9000</v>
      </c>
      <c r="B22" s="11" t="s">
        <v>305</v>
      </c>
      <c r="C22" s="11">
        <v>17.399999999999999</v>
      </c>
      <c r="D22" s="29"/>
      <c r="E22" s="11">
        <v>0.1</v>
      </c>
      <c r="F22" s="11">
        <v>0.06</v>
      </c>
      <c r="G22" s="29">
        <v>30</v>
      </c>
      <c r="H22" s="11">
        <v>7.0000000000000007E-2</v>
      </c>
      <c r="I22" s="29">
        <v>60</v>
      </c>
      <c r="J22" s="20">
        <f t="shared" si="6"/>
        <v>1E-3</v>
      </c>
      <c r="K22" s="2">
        <f t="shared" si="7"/>
        <v>9</v>
      </c>
      <c r="L22" s="2">
        <f t="shared" si="8"/>
        <v>13.5</v>
      </c>
      <c r="M22" s="2">
        <f t="shared" si="9"/>
        <v>0</v>
      </c>
      <c r="N22" s="2">
        <f t="shared" si="10"/>
        <v>0</v>
      </c>
      <c r="O22" s="2">
        <f t="shared" si="4"/>
        <v>0</v>
      </c>
      <c r="P22" s="2">
        <f t="shared" si="5"/>
        <v>0</v>
      </c>
      <c r="Q22" s="2">
        <f t="shared" si="11"/>
        <v>0</v>
      </c>
      <c r="S22" s="2">
        <f t="shared" si="2"/>
        <v>17</v>
      </c>
      <c r="T22" s="2">
        <f t="shared" si="1"/>
        <v>8.5480000000000036</v>
      </c>
      <c r="U22" s="2">
        <v>17.399999999999999</v>
      </c>
      <c r="V22" s="2">
        <v>0.1</v>
      </c>
      <c r="W22" s="2">
        <v>0.06</v>
      </c>
      <c r="X22" s="2">
        <v>7.0000000000000007E-2</v>
      </c>
      <c r="AA22" s="2">
        <f>CHOOSE(NseSrc_DataType,SF_ENR,'346'!C21,'346'!C21,'346'!C21,'346'!C21,'346'!C21,U22)</f>
        <v>5</v>
      </c>
      <c r="AB22" s="2">
        <f t="shared" si="0"/>
        <v>0.1</v>
      </c>
      <c r="AC22" s="2">
        <f>CHOOSE(NseSrc_DataType,SF_NSgamma,'346'!B21,'346'!B21,'346'!B21,'346'!B21,'346'!B21,W22)</f>
        <v>0.1</v>
      </c>
      <c r="AD22" s="2">
        <f>CHOOSE(NseSrc_DataType,SF_GamCold,'346'!B21,'346'!B21,'346'!B21,'346'!B21,'346'!B21,X22)</f>
        <v>1</v>
      </c>
    </row>
    <row r="23" spans="1:31">
      <c r="A23" s="11">
        <v>10000</v>
      </c>
      <c r="B23" s="11" t="s">
        <v>305</v>
      </c>
      <c r="C23" s="11">
        <v>17.2</v>
      </c>
      <c r="D23" s="29"/>
      <c r="E23" s="11">
        <v>0.1</v>
      </c>
      <c r="F23" s="11">
        <v>0.06</v>
      </c>
      <c r="G23" s="29">
        <v>30</v>
      </c>
      <c r="H23" s="11">
        <v>7.0000000000000007E-2</v>
      </c>
      <c r="I23" s="29">
        <v>60</v>
      </c>
      <c r="J23" s="20">
        <f t="shared" si="6"/>
        <v>1E-3</v>
      </c>
      <c r="K23" s="2">
        <f t="shared" si="7"/>
        <v>10</v>
      </c>
      <c r="L23" s="2">
        <f t="shared" si="8"/>
        <v>12.5</v>
      </c>
      <c r="M23" s="2">
        <f t="shared" si="9"/>
        <v>0</v>
      </c>
      <c r="N23" s="2">
        <f t="shared" si="10"/>
        <v>0</v>
      </c>
      <c r="O23" s="2">
        <f t="shared" si="4"/>
        <v>0</v>
      </c>
      <c r="P23" s="2">
        <f t="shared" si="5"/>
        <v>0</v>
      </c>
      <c r="Q23" s="2">
        <f t="shared" si="11"/>
        <v>0</v>
      </c>
      <c r="S23" s="2">
        <f t="shared" si="2"/>
        <v>18</v>
      </c>
      <c r="T23" s="2">
        <f t="shared" si="1"/>
        <v>9.0760000000000041</v>
      </c>
      <c r="U23" s="2">
        <v>17.399999999999999</v>
      </c>
      <c r="V23" s="2">
        <v>0.1</v>
      </c>
      <c r="W23" s="2">
        <v>0.06</v>
      </c>
      <c r="X23" s="2">
        <v>7.0000000000000007E-2</v>
      </c>
      <c r="AA23" s="2">
        <f>CHOOSE(NseSrc_DataType,SF_ENR,'346'!C22,'346'!C22,'346'!C22,'346'!C22,'346'!C22,U23)</f>
        <v>5</v>
      </c>
      <c r="AB23" s="2">
        <f t="shared" si="0"/>
        <v>0.1</v>
      </c>
      <c r="AC23" s="2">
        <f>CHOOSE(NseSrc_DataType,SF_NSgamma,'346'!B22,'346'!B22,'346'!B22,'346'!B22,'346'!B22,W23)</f>
        <v>0.1</v>
      </c>
      <c r="AD23" s="2">
        <f>CHOOSE(NseSrc_DataType,SF_GamCold,'346'!B22,'346'!B22,'346'!B22,'346'!B22,'346'!B22,X23)</f>
        <v>1</v>
      </c>
    </row>
    <row r="24" spans="1:31">
      <c r="A24" s="11">
        <v>11000</v>
      </c>
      <c r="B24" s="11" t="s">
        <v>305</v>
      </c>
      <c r="C24" s="11">
        <v>17.100000000000001</v>
      </c>
      <c r="D24" s="29"/>
      <c r="E24" s="11">
        <v>0.1</v>
      </c>
      <c r="F24" s="11">
        <v>0.06</v>
      </c>
      <c r="G24" s="29">
        <v>30</v>
      </c>
      <c r="H24" s="11">
        <v>0.06</v>
      </c>
      <c r="I24" s="29">
        <v>60</v>
      </c>
      <c r="J24" s="20">
        <f t="shared" si="6"/>
        <v>1E-3</v>
      </c>
      <c r="K24" s="2">
        <f t="shared" si="7"/>
        <v>11</v>
      </c>
      <c r="L24" s="2">
        <f t="shared" si="8"/>
        <v>11.5</v>
      </c>
      <c r="M24" s="2">
        <f t="shared" si="9"/>
        <v>0</v>
      </c>
      <c r="N24" s="2">
        <f t="shared" si="10"/>
        <v>0</v>
      </c>
      <c r="O24" s="2">
        <f t="shared" si="4"/>
        <v>0</v>
      </c>
      <c r="P24" s="2">
        <f t="shared" si="5"/>
        <v>0</v>
      </c>
      <c r="Q24" s="2">
        <f t="shared" si="11"/>
        <v>0</v>
      </c>
      <c r="S24" s="2">
        <f t="shared" si="2"/>
        <v>19</v>
      </c>
      <c r="T24" s="2">
        <f t="shared" si="1"/>
        <v>9.6040000000000045</v>
      </c>
      <c r="U24" s="2">
        <v>17.2</v>
      </c>
      <c r="V24" s="2">
        <v>0.1</v>
      </c>
      <c r="W24" s="2">
        <v>0.06</v>
      </c>
      <c r="X24" s="2">
        <v>7.0000000000000007E-2</v>
      </c>
      <c r="AA24" s="2">
        <f>CHOOSE(NseSrc_DataType,SF_ENR,'346'!C23,'346'!C23,'346'!C23,'346'!C23,'346'!C23,U24)</f>
        <v>5</v>
      </c>
      <c r="AB24" s="2">
        <f t="shared" si="0"/>
        <v>0.1</v>
      </c>
      <c r="AC24" s="2">
        <f>CHOOSE(NseSrc_DataType,SF_NSgamma,'346'!B23,'346'!B23,'346'!B23,'346'!B23,'346'!B23,W24)</f>
        <v>0.1</v>
      </c>
      <c r="AD24" s="2">
        <f>CHOOSE(NseSrc_DataType,SF_GamCold,'346'!B23,'346'!B23,'346'!B23,'346'!B23,'346'!B23,X24)</f>
        <v>1</v>
      </c>
    </row>
    <row r="25" spans="1:31">
      <c r="A25" s="11">
        <v>12000</v>
      </c>
      <c r="B25" s="11" t="s">
        <v>305</v>
      </c>
      <c r="C25" s="11">
        <v>17</v>
      </c>
      <c r="D25" s="29"/>
      <c r="E25" s="11">
        <v>0.1</v>
      </c>
      <c r="F25" s="11">
        <v>7.0000000000000007E-2</v>
      </c>
      <c r="G25" s="29">
        <v>30</v>
      </c>
      <c r="H25" s="11">
        <v>0.06</v>
      </c>
      <c r="I25" s="29">
        <v>60</v>
      </c>
      <c r="J25" s="20">
        <f t="shared" si="6"/>
        <v>1E-3</v>
      </c>
      <c r="K25" s="2">
        <f t="shared" si="7"/>
        <v>12</v>
      </c>
      <c r="L25" s="2">
        <f t="shared" si="8"/>
        <v>10.5</v>
      </c>
      <c r="M25" s="2">
        <f t="shared" si="9"/>
        <v>0</v>
      </c>
      <c r="N25" s="2">
        <f t="shared" si="10"/>
        <v>0</v>
      </c>
      <c r="O25" s="2">
        <f t="shared" si="4"/>
        <v>0</v>
      </c>
      <c r="P25" s="2">
        <f t="shared" si="5"/>
        <v>0</v>
      </c>
      <c r="Q25" s="2">
        <f t="shared" si="11"/>
        <v>0</v>
      </c>
      <c r="S25" s="2">
        <f t="shared" si="2"/>
        <v>20</v>
      </c>
      <c r="T25" s="2">
        <f t="shared" si="1"/>
        <v>10.132000000000005</v>
      </c>
      <c r="U25" s="2">
        <v>17.2</v>
      </c>
      <c r="V25" s="2">
        <v>0.1</v>
      </c>
      <c r="W25" s="2">
        <v>0.06</v>
      </c>
      <c r="X25" s="2">
        <v>7.0000000000000007E-2</v>
      </c>
      <c r="AA25" s="2">
        <f>CHOOSE(NseSrc_DataType,SF_ENR,'346'!C24,'346'!C24,'346'!C24,'346'!C24,'346'!C24,U25)</f>
        <v>5</v>
      </c>
      <c r="AB25" s="2">
        <f t="shared" si="0"/>
        <v>0.1</v>
      </c>
      <c r="AC25" s="2">
        <f>CHOOSE(NseSrc_DataType,SF_NSgamma,'346'!B24,'346'!B24,'346'!B24,'346'!B24,'346'!B24,W25)</f>
        <v>0.1</v>
      </c>
      <c r="AD25" s="2">
        <f>CHOOSE(NseSrc_DataType,SF_GamCold,'346'!B24,'346'!B24,'346'!B24,'346'!B24,'346'!B24,X25)</f>
        <v>1</v>
      </c>
    </row>
    <row r="26" spans="1:31">
      <c r="A26" s="11">
        <v>13000</v>
      </c>
      <c r="B26" s="11" t="s">
        <v>305</v>
      </c>
      <c r="C26" s="11">
        <v>16.8</v>
      </c>
      <c r="D26" s="29"/>
      <c r="E26" s="11">
        <v>0.1</v>
      </c>
      <c r="F26" s="11">
        <v>7.0000000000000007E-2</v>
      </c>
      <c r="G26" s="29">
        <v>30</v>
      </c>
      <c r="H26" s="11">
        <v>0.06</v>
      </c>
      <c r="I26" s="29">
        <v>60</v>
      </c>
      <c r="J26" s="20">
        <f t="shared" si="6"/>
        <v>1E-3</v>
      </c>
      <c r="K26" s="2">
        <f t="shared" si="7"/>
        <v>13</v>
      </c>
      <c r="L26" s="2">
        <f t="shared" si="8"/>
        <v>9.5</v>
      </c>
      <c r="M26" s="2">
        <f t="shared" si="9"/>
        <v>0</v>
      </c>
      <c r="N26" s="2">
        <f t="shared" si="10"/>
        <v>0</v>
      </c>
      <c r="O26" s="2">
        <f t="shared" si="4"/>
        <v>0</v>
      </c>
      <c r="P26" s="2">
        <f t="shared" si="5"/>
        <v>0</v>
      </c>
      <c r="Q26" s="2">
        <f t="shared" si="11"/>
        <v>0</v>
      </c>
      <c r="S26" s="2">
        <f t="shared" si="2"/>
        <v>21</v>
      </c>
      <c r="T26" s="2">
        <f t="shared" si="1"/>
        <v>10.660000000000005</v>
      </c>
      <c r="U26" s="2">
        <v>17.100000000000001</v>
      </c>
      <c r="V26" s="2">
        <v>0.1</v>
      </c>
      <c r="W26" s="2">
        <v>0.06</v>
      </c>
      <c r="X26" s="2">
        <v>0.06</v>
      </c>
      <c r="AA26" s="2">
        <f>CHOOSE(NseSrc_DataType,SF_ENR,'346'!C25,'346'!C25,'346'!C25,'346'!C25,'346'!C25,U26)</f>
        <v>5</v>
      </c>
      <c r="AB26" s="2">
        <f t="shared" si="0"/>
        <v>0.1</v>
      </c>
      <c r="AC26" s="2">
        <f>CHOOSE(NseSrc_DataType,SF_NSgamma,'346'!B25,'346'!B25,'346'!B25,'346'!B25,'346'!B25,W26)</f>
        <v>0.1</v>
      </c>
      <c r="AD26" s="2">
        <f>CHOOSE(NseSrc_DataType,SF_GamCold,'346'!B25,'346'!B25,'346'!B25,'346'!B25,'346'!B25,X26)</f>
        <v>1</v>
      </c>
    </row>
    <row r="27" spans="1:31">
      <c r="A27" s="11">
        <v>14000</v>
      </c>
      <c r="B27" s="11" t="s">
        <v>305</v>
      </c>
      <c r="C27" s="11">
        <v>16.600000000000001</v>
      </c>
      <c r="D27" s="29"/>
      <c r="E27" s="11">
        <v>0.1</v>
      </c>
      <c r="F27" s="11">
        <v>7.0000000000000007E-2</v>
      </c>
      <c r="G27" s="29">
        <v>30</v>
      </c>
      <c r="H27" s="11">
        <v>0.05</v>
      </c>
      <c r="I27" s="29">
        <v>60</v>
      </c>
      <c r="J27" s="20">
        <f t="shared" si="6"/>
        <v>1E-3</v>
      </c>
      <c r="K27" s="2">
        <f t="shared" si="7"/>
        <v>14</v>
      </c>
      <c r="L27" s="2">
        <f t="shared" si="8"/>
        <v>8.5</v>
      </c>
      <c r="M27" s="2">
        <f t="shared" si="9"/>
        <v>0</v>
      </c>
      <c r="N27" s="2">
        <f t="shared" si="10"/>
        <v>0</v>
      </c>
      <c r="O27" s="2">
        <f t="shared" si="4"/>
        <v>0</v>
      </c>
      <c r="P27" s="2">
        <f t="shared" si="5"/>
        <v>0</v>
      </c>
      <c r="Q27" s="2">
        <f t="shared" si="11"/>
        <v>0</v>
      </c>
      <c r="S27" s="2">
        <f t="shared" si="2"/>
        <v>22</v>
      </c>
      <c r="T27" s="2">
        <f t="shared" si="1"/>
        <v>11.188000000000006</v>
      </c>
      <c r="U27" s="2">
        <v>17.100000000000001</v>
      </c>
      <c r="V27" s="2">
        <v>0.1</v>
      </c>
      <c r="W27" s="2">
        <v>0.06</v>
      </c>
      <c r="X27" s="2">
        <v>0.06</v>
      </c>
      <c r="AA27" s="2">
        <f>CHOOSE(NseSrc_DataType,SF_ENR,'346'!C26,'346'!C26,'346'!C26,'346'!C26,'346'!C26,U27)</f>
        <v>5</v>
      </c>
      <c r="AB27" s="2">
        <f t="shared" si="0"/>
        <v>0.1</v>
      </c>
      <c r="AC27" s="2">
        <f>CHOOSE(NseSrc_DataType,SF_NSgamma,'346'!B26,'346'!B26,'346'!B26,'346'!B26,'346'!B26,W27)</f>
        <v>0.1</v>
      </c>
      <c r="AD27" s="2">
        <f>CHOOSE(NseSrc_DataType,SF_GamCold,'346'!B26,'346'!B26,'346'!B26,'346'!B26,'346'!B26,X27)</f>
        <v>1</v>
      </c>
    </row>
    <row r="28" spans="1:31">
      <c r="A28" s="11">
        <v>15000</v>
      </c>
      <c r="B28" s="11" t="s">
        <v>305</v>
      </c>
      <c r="C28" s="11">
        <v>16.5</v>
      </c>
      <c r="D28" s="29"/>
      <c r="E28" s="11">
        <v>0.1</v>
      </c>
      <c r="F28" s="11">
        <v>0.09</v>
      </c>
      <c r="G28" s="29">
        <v>30</v>
      </c>
      <c r="H28" s="11">
        <v>0.05</v>
      </c>
      <c r="I28" s="29">
        <v>60</v>
      </c>
      <c r="J28" s="20">
        <f t="shared" si="6"/>
        <v>1E-3</v>
      </c>
      <c r="K28" s="2">
        <f t="shared" si="7"/>
        <v>15</v>
      </c>
      <c r="L28" s="2">
        <f t="shared" si="8"/>
        <v>7.5</v>
      </c>
      <c r="M28" s="2">
        <f t="shared" si="9"/>
        <v>0</v>
      </c>
      <c r="N28" s="2">
        <f t="shared" si="10"/>
        <v>0</v>
      </c>
      <c r="O28" s="2">
        <f t="shared" ref="O28:O65" si="12">$M28*E28</f>
        <v>0</v>
      </c>
      <c r="P28" s="2">
        <f t="shared" ref="P28:P65" si="13">$M28*F28</f>
        <v>0</v>
      </c>
      <c r="Q28" s="2">
        <f t="shared" si="11"/>
        <v>0</v>
      </c>
      <c r="S28" s="2">
        <f t="shared" si="2"/>
        <v>23</v>
      </c>
      <c r="T28" s="2">
        <f t="shared" si="1"/>
        <v>11.716000000000006</v>
      </c>
      <c r="U28" s="2">
        <v>17</v>
      </c>
      <c r="V28" s="2">
        <v>0.1</v>
      </c>
      <c r="W28" s="2">
        <v>7.0000000000000007E-2</v>
      </c>
      <c r="X28" s="2">
        <v>0.06</v>
      </c>
      <c r="AA28" s="2">
        <f>CHOOSE(NseSrc_DataType,SF_ENR,'346'!C27,'346'!C27,'346'!C27,'346'!C27,'346'!C27,U28)</f>
        <v>5</v>
      </c>
      <c r="AB28" s="2">
        <f t="shared" si="0"/>
        <v>0.1</v>
      </c>
      <c r="AC28" s="2">
        <f>CHOOSE(NseSrc_DataType,SF_NSgamma,'346'!B27,'346'!B27,'346'!B27,'346'!B27,'346'!B27,W28)</f>
        <v>0.1</v>
      </c>
      <c r="AD28" s="2">
        <f>CHOOSE(NseSrc_DataType,SF_GamCold,'346'!B27,'346'!B27,'346'!B27,'346'!B27,'346'!B27,X28)</f>
        <v>1</v>
      </c>
    </row>
    <row r="29" spans="1:31">
      <c r="A29" s="11">
        <v>16000</v>
      </c>
      <c r="B29" s="11" t="s">
        <v>305</v>
      </c>
      <c r="C29" s="11">
        <v>16.399999999999999</v>
      </c>
      <c r="D29" s="29"/>
      <c r="E29" s="11">
        <v>0.1</v>
      </c>
      <c r="F29" s="11">
        <v>0.09</v>
      </c>
      <c r="G29" s="29">
        <v>30</v>
      </c>
      <c r="H29" s="11">
        <v>0.05</v>
      </c>
      <c r="I29" s="29">
        <v>60</v>
      </c>
      <c r="J29" s="20">
        <f t="shared" si="6"/>
        <v>1E-3</v>
      </c>
      <c r="K29" s="2">
        <f t="shared" si="7"/>
        <v>16</v>
      </c>
      <c r="L29" s="2">
        <f t="shared" si="8"/>
        <v>6.5</v>
      </c>
      <c r="M29" s="2">
        <f t="shared" si="9"/>
        <v>0</v>
      </c>
      <c r="N29" s="2">
        <f t="shared" si="10"/>
        <v>0</v>
      </c>
      <c r="O29" s="2">
        <f t="shared" si="12"/>
        <v>0</v>
      </c>
      <c r="P29" s="2">
        <f t="shared" si="13"/>
        <v>0</v>
      </c>
      <c r="Q29" s="2">
        <f t="shared" si="11"/>
        <v>0</v>
      </c>
      <c r="S29" s="2">
        <f t="shared" si="2"/>
        <v>24</v>
      </c>
      <c r="T29" s="2">
        <f t="shared" si="1"/>
        <v>12.244000000000007</v>
      </c>
      <c r="U29" s="2">
        <v>17</v>
      </c>
      <c r="V29" s="2">
        <v>0.1</v>
      </c>
      <c r="W29" s="2">
        <v>7.0000000000000007E-2</v>
      </c>
      <c r="X29" s="2">
        <v>0.06</v>
      </c>
      <c r="AA29" s="2">
        <f>CHOOSE(NseSrc_DataType,SF_ENR,'346'!C28,'346'!C28,'346'!C28,'346'!C28,'346'!C28,U29)</f>
        <v>5</v>
      </c>
      <c r="AB29" s="2">
        <f t="shared" si="0"/>
        <v>0.1</v>
      </c>
      <c r="AC29" s="2">
        <f>CHOOSE(NseSrc_DataType,SF_NSgamma,'346'!B28,'346'!B28,'346'!B28,'346'!B28,'346'!B28,W29)</f>
        <v>0.1</v>
      </c>
      <c r="AD29" s="2">
        <f>CHOOSE(NseSrc_DataType,SF_GamCold,'346'!B28,'346'!B28,'346'!B28,'346'!B28,'346'!B28,X29)</f>
        <v>1</v>
      </c>
    </row>
    <row r="30" spans="1:31">
      <c r="A30" s="11">
        <v>17000</v>
      </c>
      <c r="B30" s="11" t="s">
        <v>305</v>
      </c>
      <c r="C30" s="11">
        <v>16.2</v>
      </c>
      <c r="D30" s="29"/>
      <c r="E30" s="11">
        <v>0.1</v>
      </c>
      <c r="F30" s="11">
        <v>0.09</v>
      </c>
      <c r="G30" s="29">
        <v>30</v>
      </c>
      <c r="H30" s="11">
        <v>0.04</v>
      </c>
      <c r="I30" s="29">
        <v>60</v>
      </c>
      <c r="J30" s="20">
        <f t="shared" si="6"/>
        <v>1E-3</v>
      </c>
      <c r="K30" s="2">
        <f t="shared" si="7"/>
        <v>17</v>
      </c>
      <c r="L30" s="2">
        <f t="shared" si="8"/>
        <v>5.5</v>
      </c>
      <c r="M30" s="2">
        <f t="shared" si="9"/>
        <v>0</v>
      </c>
      <c r="N30" s="2">
        <f t="shared" si="10"/>
        <v>0</v>
      </c>
      <c r="O30" s="2">
        <f t="shared" si="12"/>
        <v>0</v>
      </c>
      <c r="P30" s="2">
        <f t="shared" si="13"/>
        <v>0</v>
      </c>
      <c r="Q30" s="2">
        <f t="shared" si="11"/>
        <v>0</v>
      </c>
      <c r="S30" s="2">
        <f t="shared" si="2"/>
        <v>25</v>
      </c>
      <c r="T30" s="2">
        <f t="shared" si="1"/>
        <v>12.772000000000007</v>
      </c>
      <c r="U30" s="2">
        <v>16.8</v>
      </c>
      <c r="V30" s="2">
        <v>0.1</v>
      </c>
      <c r="W30" s="2">
        <v>7.0000000000000007E-2</v>
      </c>
      <c r="X30" s="2">
        <v>0.06</v>
      </c>
      <c r="AA30" s="2">
        <f>CHOOSE(NseSrc_DataType,SF_ENR,'346'!C29,'346'!C29,'346'!C29,'346'!C29,'346'!C29,U30)</f>
        <v>5</v>
      </c>
      <c r="AB30" s="2">
        <f t="shared" si="0"/>
        <v>0.1</v>
      </c>
      <c r="AC30" s="2">
        <f>CHOOSE(NseSrc_DataType,SF_NSgamma,'346'!B29,'346'!B29,'346'!B29,'346'!B29,'346'!B29,W30)</f>
        <v>0.1</v>
      </c>
      <c r="AD30" s="2">
        <f>CHOOSE(NseSrc_DataType,SF_GamCold,'346'!B29,'346'!B29,'346'!B29,'346'!B29,'346'!B29,X30)</f>
        <v>1</v>
      </c>
    </row>
    <row r="31" spans="1:31">
      <c r="A31" s="11">
        <v>18000</v>
      </c>
      <c r="B31" s="11" t="s">
        <v>305</v>
      </c>
      <c r="C31" s="11">
        <v>16</v>
      </c>
      <c r="D31" s="29"/>
      <c r="E31" s="11">
        <v>0.1</v>
      </c>
      <c r="F31" s="11">
        <v>0.1</v>
      </c>
      <c r="G31" s="29">
        <v>30</v>
      </c>
      <c r="H31" s="11">
        <v>0.04</v>
      </c>
      <c r="I31" s="29">
        <v>60</v>
      </c>
      <c r="J31" s="20">
        <f t="shared" si="6"/>
        <v>1E-3</v>
      </c>
      <c r="K31" s="2">
        <f t="shared" si="7"/>
        <v>18</v>
      </c>
      <c r="L31" s="2">
        <f t="shared" si="8"/>
        <v>4.5</v>
      </c>
      <c r="M31" s="2">
        <f t="shared" si="9"/>
        <v>0</v>
      </c>
      <c r="N31" s="2">
        <f t="shared" si="10"/>
        <v>0</v>
      </c>
      <c r="O31" s="2">
        <f t="shared" si="12"/>
        <v>0</v>
      </c>
      <c r="P31" s="2">
        <f t="shared" si="13"/>
        <v>0</v>
      </c>
      <c r="Q31" s="2">
        <f t="shared" si="11"/>
        <v>0</v>
      </c>
      <c r="S31" s="2">
        <f t="shared" si="2"/>
        <v>26</v>
      </c>
      <c r="T31" s="2">
        <f t="shared" si="1"/>
        <v>13.300000000000008</v>
      </c>
      <c r="U31" s="2">
        <v>16.8</v>
      </c>
      <c r="V31" s="2">
        <v>0.1</v>
      </c>
      <c r="W31" s="2">
        <v>7.0000000000000007E-2</v>
      </c>
      <c r="X31" s="2">
        <v>0.06</v>
      </c>
      <c r="AA31" s="2">
        <f>CHOOSE(NseSrc_DataType,SF_ENR,'346'!C30,'346'!C30,'346'!C30,'346'!C30,'346'!C30,U31)</f>
        <v>5</v>
      </c>
      <c r="AB31" s="2">
        <f t="shared" si="0"/>
        <v>0.1</v>
      </c>
      <c r="AC31" s="2">
        <f>CHOOSE(NseSrc_DataType,SF_NSgamma,'346'!B30,'346'!B30,'346'!B30,'346'!B30,'346'!B30,W31)</f>
        <v>0.1</v>
      </c>
      <c r="AD31" s="2">
        <f>CHOOSE(NseSrc_DataType,SF_GamCold,'346'!B30,'346'!B30,'346'!B30,'346'!B30,'346'!B30,X31)</f>
        <v>1</v>
      </c>
    </row>
    <row r="32" spans="1:31">
      <c r="A32" s="11">
        <v>19000</v>
      </c>
      <c r="B32" s="11" t="s">
        <v>305</v>
      </c>
      <c r="C32" s="11">
        <v>15.9</v>
      </c>
      <c r="D32" s="29"/>
      <c r="E32" s="11">
        <v>0.1</v>
      </c>
      <c r="F32" s="11">
        <v>0.1</v>
      </c>
      <c r="G32" s="29">
        <v>30</v>
      </c>
      <c r="H32" s="11">
        <v>0.04</v>
      </c>
      <c r="I32" s="29">
        <v>60</v>
      </c>
      <c r="J32" s="20">
        <f t="shared" si="6"/>
        <v>1E-3</v>
      </c>
      <c r="K32" s="2">
        <f t="shared" si="7"/>
        <v>19</v>
      </c>
      <c r="L32" s="2">
        <f t="shared" si="8"/>
        <v>3.5</v>
      </c>
      <c r="M32" s="2">
        <f t="shared" si="9"/>
        <v>0</v>
      </c>
      <c r="N32" s="2">
        <f t="shared" si="10"/>
        <v>0</v>
      </c>
      <c r="O32" s="2">
        <f t="shared" si="12"/>
        <v>0</v>
      </c>
      <c r="P32" s="2">
        <f t="shared" si="13"/>
        <v>0</v>
      </c>
      <c r="Q32" s="2">
        <f t="shared" si="11"/>
        <v>0</v>
      </c>
      <c r="S32" s="2">
        <f t="shared" si="2"/>
        <v>27</v>
      </c>
      <c r="T32" s="2">
        <f t="shared" si="1"/>
        <v>13.828000000000008</v>
      </c>
      <c r="U32" s="2">
        <v>16.600000000000001</v>
      </c>
      <c r="V32" s="2">
        <v>0.1</v>
      </c>
      <c r="W32" s="2">
        <v>7.0000000000000007E-2</v>
      </c>
      <c r="X32" s="2">
        <v>0.05</v>
      </c>
      <c r="AA32" s="2">
        <f>CHOOSE(NseSrc_DataType,SF_ENR,'346'!C31,'346'!C31,'346'!C31,'346'!C31,'346'!C31,U32)</f>
        <v>5</v>
      </c>
      <c r="AB32" s="2">
        <f t="shared" si="0"/>
        <v>0.1</v>
      </c>
      <c r="AC32" s="2">
        <f>CHOOSE(NseSrc_DataType,SF_NSgamma,'346'!B31,'346'!B31,'346'!B31,'346'!B31,'346'!B31,W32)</f>
        <v>0.1</v>
      </c>
      <c r="AD32" s="2">
        <f>CHOOSE(NseSrc_DataType,SF_GamCold,'346'!B31,'346'!B31,'346'!B31,'346'!B31,'346'!B31,X32)</f>
        <v>1</v>
      </c>
    </row>
    <row r="33" spans="1:30">
      <c r="A33" s="11">
        <v>20000</v>
      </c>
      <c r="B33" s="11" t="s">
        <v>305</v>
      </c>
      <c r="C33" s="11">
        <v>15.8</v>
      </c>
      <c r="D33" s="29"/>
      <c r="E33" s="11">
        <v>0.1</v>
      </c>
      <c r="F33" s="11">
        <v>0.11</v>
      </c>
      <c r="G33" s="29">
        <v>30</v>
      </c>
      <c r="H33" s="11">
        <v>0.03</v>
      </c>
      <c r="I33" s="29">
        <v>60</v>
      </c>
      <c r="J33" s="20">
        <f t="shared" si="6"/>
        <v>1E-3</v>
      </c>
      <c r="K33" s="2">
        <f t="shared" si="7"/>
        <v>20</v>
      </c>
      <c r="L33" s="2">
        <f t="shared" si="8"/>
        <v>2.5</v>
      </c>
      <c r="M33" s="2">
        <f t="shared" si="9"/>
        <v>0</v>
      </c>
      <c r="N33" s="2">
        <f t="shared" si="10"/>
        <v>0</v>
      </c>
      <c r="O33" s="2">
        <f t="shared" si="12"/>
        <v>0</v>
      </c>
      <c r="P33" s="2">
        <f t="shared" si="13"/>
        <v>0</v>
      </c>
      <c r="Q33" s="2">
        <f t="shared" si="11"/>
        <v>0</v>
      </c>
      <c r="S33" s="2">
        <f t="shared" si="2"/>
        <v>28</v>
      </c>
      <c r="T33" s="2">
        <f t="shared" si="1"/>
        <v>14.356000000000009</v>
      </c>
      <c r="U33" s="2">
        <v>16.600000000000001</v>
      </c>
      <c r="V33" s="2">
        <v>0.1</v>
      </c>
      <c r="W33" s="2">
        <v>7.0000000000000007E-2</v>
      </c>
      <c r="X33" s="2">
        <v>0.05</v>
      </c>
      <c r="AA33" s="2">
        <f>CHOOSE(NseSrc_DataType,SF_ENR,'346'!C32,'346'!C32,'346'!C32,'346'!C32,'346'!C32,U33)</f>
        <v>5</v>
      </c>
      <c r="AB33" s="2">
        <f t="shared" si="0"/>
        <v>0.1</v>
      </c>
      <c r="AC33" s="2">
        <f>CHOOSE(NseSrc_DataType,SF_NSgamma,'346'!B32,'346'!B32,'346'!B32,'346'!B32,'346'!B32,W33)</f>
        <v>0.1</v>
      </c>
      <c r="AD33" s="2">
        <f>CHOOSE(NseSrc_DataType,SF_GamCold,'346'!B32,'346'!B32,'346'!B32,'346'!B32,'346'!B32,X33)</f>
        <v>1</v>
      </c>
    </row>
    <row r="34" spans="1:30">
      <c r="A34" s="11">
        <v>21000</v>
      </c>
      <c r="B34" s="11" t="s">
        <v>305</v>
      </c>
      <c r="C34" s="11">
        <v>15.7</v>
      </c>
      <c r="D34" s="29"/>
      <c r="E34" s="11">
        <v>0.1</v>
      </c>
      <c r="F34" s="11">
        <v>0.11</v>
      </c>
      <c r="G34" s="29">
        <v>30</v>
      </c>
      <c r="H34" s="11">
        <v>0.02</v>
      </c>
      <c r="I34" s="29">
        <v>60</v>
      </c>
      <c r="J34" s="20">
        <f t="shared" si="6"/>
        <v>1E-3</v>
      </c>
      <c r="K34" s="2">
        <f t="shared" si="7"/>
        <v>21</v>
      </c>
      <c r="L34" s="2">
        <f t="shared" si="8"/>
        <v>1.5</v>
      </c>
      <c r="M34" s="2">
        <f t="shared" si="9"/>
        <v>0</v>
      </c>
      <c r="N34" s="2">
        <f t="shared" si="10"/>
        <v>0</v>
      </c>
      <c r="O34" s="2">
        <f t="shared" si="12"/>
        <v>0</v>
      </c>
      <c r="P34" s="2">
        <f t="shared" si="13"/>
        <v>0</v>
      </c>
      <c r="Q34" s="2">
        <f t="shared" si="11"/>
        <v>0</v>
      </c>
      <c r="S34" s="2">
        <f t="shared" si="2"/>
        <v>29</v>
      </c>
      <c r="T34" s="2">
        <f t="shared" si="1"/>
        <v>14.884000000000009</v>
      </c>
      <c r="U34" s="2">
        <v>16.5</v>
      </c>
      <c r="V34" s="2">
        <v>0.1</v>
      </c>
      <c r="W34" s="2">
        <v>0.09</v>
      </c>
      <c r="X34" s="2">
        <v>0.05</v>
      </c>
      <c r="AA34" s="2">
        <f>CHOOSE(NseSrc_DataType,SF_ENR,'346'!C33,'346'!C33,'346'!C33,'346'!C33,'346'!C33,U34)</f>
        <v>5</v>
      </c>
      <c r="AB34" s="2">
        <f t="shared" si="0"/>
        <v>0.1</v>
      </c>
      <c r="AC34" s="2">
        <f>CHOOSE(NseSrc_DataType,SF_NSgamma,'346'!B33,'346'!B33,'346'!B33,'346'!B33,'346'!B33,W34)</f>
        <v>0.1</v>
      </c>
      <c r="AD34" s="2">
        <f>CHOOSE(NseSrc_DataType,SF_GamCold,'346'!B33,'346'!B33,'346'!B33,'346'!B33,'346'!B33,X34)</f>
        <v>1</v>
      </c>
    </row>
    <row r="35" spans="1:30">
      <c r="A35" s="11">
        <v>22000</v>
      </c>
      <c r="B35" s="11" t="s">
        <v>305</v>
      </c>
      <c r="C35" s="11">
        <v>15.5</v>
      </c>
      <c r="D35" s="29"/>
      <c r="E35" s="11">
        <v>0.1</v>
      </c>
      <c r="F35" s="11">
        <v>0.11</v>
      </c>
      <c r="G35" s="29">
        <v>30</v>
      </c>
      <c r="H35" s="11">
        <v>0.02</v>
      </c>
      <c r="I35" s="29">
        <v>60</v>
      </c>
      <c r="J35" s="20">
        <f t="shared" si="6"/>
        <v>1E-3</v>
      </c>
      <c r="K35" s="2">
        <f t="shared" si="7"/>
        <v>22</v>
      </c>
      <c r="L35" s="2">
        <f t="shared" si="8"/>
        <v>0.5</v>
      </c>
      <c r="M35" s="2">
        <f t="shared" si="9"/>
        <v>1</v>
      </c>
      <c r="N35" s="2">
        <f t="shared" si="10"/>
        <v>15.5</v>
      </c>
      <c r="O35" s="2">
        <f t="shared" si="12"/>
        <v>0.1</v>
      </c>
      <c r="P35" s="2">
        <f t="shared" si="13"/>
        <v>0.11</v>
      </c>
      <c r="Q35" s="2">
        <f t="shared" si="11"/>
        <v>0.02</v>
      </c>
      <c r="S35" s="2">
        <f t="shared" si="2"/>
        <v>30</v>
      </c>
      <c r="T35" s="2">
        <f t="shared" si="1"/>
        <v>15.41200000000001</v>
      </c>
      <c r="U35" s="2">
        <v>16.5</v>
      </c>
      <c r="V35" s="2">
        <v>0.1</v>
      </c>
      <c r="W35" s="2">
        <v>0.09</v>
      </c>
      <c r="X35" s="2">
        <v>0.05</v>
      </c>
      <c r="AA35" s="2">
        <f>CHOOSE(NseSrc_DataType,SF_ENR,'346'!C34,'346'!C34,'346'!C34,'346'!C34,'346'!C34,U35)</f>
        <v>5</v>
      </c>
      <c r="AB35" s="2">
        <f t="shared" si="0"/>
        <v>0.1</v>
      </c>
      <c r="AC35" s="2">
        <f>CHOOSE(NseSrc_DataType,SF_NSgamma,'346'!B34,'346'!B34,'346'!B34,'346'!B34,'346'!B34,W35)</f>
        <v>0.1</v>
      </c>
      <c r="AD35" s="2">
        <f>CHOOSE(NseSrc_DataType,SF_GamCold,'346'!B34,'346'!B34,'346'!B34,'346'!B34,'346'!B34,X35)</f>
        <v>1</v>
      </c>
    </row>
    <row r="36" spans="1:30">
      <c r="A36" s="11">
        <v>23000</v>
      </c>
      <c r="B36" s="11" t="s">
        <v>305</v>
      </c>
      <c r="C36" s="11">
        <v>15.5</v>
      </c>
      <c r="D36" s="29"/>
      <c r="E36" s="11">
        <v>0.1</v>
      </c>
      <c r="F36" s="11">
        <v>0.11</v>
      </c>
      <c r="G36" s="29">
        <v>30</v>
      </c>
      <c r="H36" s="11">
        <v>0.02</v>
      </c>
      <c r="I36" s="29">
        <v>60</v>
      </c>
      <c r="J36" s="20">
        <f t="shared" si="6"/>
        <v>1E-3</v>
      </c>
      <c r="K36" s="2">
        <f t="shared" si="7"/>
        <v>23</v>
      </c>
      <c r="L36" s="2">
        <f t="shared" si="8"/>
        <v>0.5</v>
      </c>
      <c r="M36" s="2">
        <f t="shared" si="9"/>
        <v>1</v>
      </c>
      <c r="N36" s="2">
        <f t="shared" si="10"/>
        <v>15.5</v>
      </c>
      <c r="O36" s="2">
        <f t="shared" si="12"/>
        <v>0.1</v>
      </c>
      <c r="P36" s="2">
        <f t="shared" si="13"/>
        <v>0.11</v>
      </c>
      <c r="Q36" s="2">
        <f t="shared" si="11"/>
        <v>0.02</v>
      </c>
      <c r="S36" s="2">
        <f t="shared" si="2"/>
        <v>31</v>
      </c>
      <c r="T36" s="2">
        <f t="shared" si="1"/>
        <v>15.94000000000001</v>
      </c>
      <c r="U36" s="2">
        <v>16.399999999999999</v>
      </c>
      <c r="V36" s="2">
        <v>0.1</v>
      </c>
      <c r="W36" s="2">
        <v>0.09</v>
      </c>
      <c r="X36" s="2">
        <v>0.05</v>
      </c>
      <c r="AA36" s="2">
        <f>CHOOSE(NseSrc_DataType,SF_ENR,'346'!C35,'346'!C35,'346'!C35,'346'!C35,'346'!C35,U36)</f>
        <v>5</v>
      </c>
      <c r="AB36" s="2">
        <f t="shared" si="0"/>
        <v>0.1</v>
      </c>
      <c r="AC36" s="2">
        <f>CHOOSE(NseSrc_DataType,SF_NSgamma,'346'!B35,'346'!B35,'346'!B35,'346'!B35,'346'!B35,W36)</f>
        <v>0.1</v>
      </c>
      <c r="AD36" s="2">
        <f>CHOOSE(NseSrc_DataType,SF_GamCold,'346'!B35,'346'!B35,'346'!B35,'346'!B35,'346'!B35,X36)</f>
        <v>1</v>
      </c>
    </row>
    <row r="37" spans="1:30">
      <c r="A37" s="11">
        <v>24000</v>
      </c>
      <c r="B37" s="11" t="s">
        <v>305</v>
      </c>
      <c r="C37" s="11">
        <v>15.5</v>
      </c>
      <c r="D37" s="29"/>
      <c r="E37" s="11">
        <v>0.1</v>
      </c>
      <c r="F37" s="11">
        <v>0.11</v>
      </c>
      <c r="G37" s="29">
        <v>30</v>
      </c>
      <c r="H37" s="11">
        <v>0.02</v>
      </c>
      <c r="I37" s="29">
        <v>60</v>
      </c>
      <c r="J37" s="20">
        <f t="shared" si="6"/>
        <v>1E-3</v>
      </c>
      <c r="K37" s="2">
        <f t="shared" si="7"/>
        <v>24</v>
      </c>
      <c r="L37" s="2">
        <f t="shared" si="8"/>
        <v>1.5</v>
      </c>
      <c r="M37" s="2">
        <f t="shared" si="9"/>
        <v>0</v>
      </c>
      <c r="N37" s="2">
        <f t="shared" si="10"/>
        <v>0</v>
      </c>
      <c r="O37" s="2">
        <f t="shared" si="12"/>
        <v>0</v>
      </c>
      <c r="P37" s="2">
        <f t="shared" si="13"/>
        <v>0</v>
      </c>
      <c r="Q37" s="2">
        <f t="shared" si="11"/>
        <v>0</v>
      </c>
      <c r="S37" s="2">
        <f t="shared" si="2"/>
        <v>32</v>
      </c>
      <c r="T37" s="2">
        <f t="shared" si="1"/>
        <v>16.468000000000011</v>
      </c>
      <c r="U37" s="2">
        <v>16.399999999999999</v>
      </c>
      <c r="V37" s="2">
        <v>0.1</v>
      </c>
      <c r="W37" s="2">
        <v>0.09</v>
      </c>
      <c r="X37" s="2">
        <v>0.05</v>
      </c>
      <c r="AA37" s="2">
        <f>CHOOSE(NseSrc_DataType,SF_ENR,'346'!C36,'346'!C36,'346'!C36,'346'!C36,'346'!C36,U37)</f>
        <v>5</v>
      </c>
      <c r="AB37" s="2">
        <f t="shared" si="0"/>
        <v>0.1</v>
      </c>
      <c r="AC37" s="2">
        <f>CHOOSE(NseSrc_DataType,SF_NSgamma,'346'!B36,'346'!B36,'346'!B36,'346'!B36,'346'!B36,W37)</f>
        <v>0.1</v>
      </c>
      <c r="AD37" s="2">
        <f>CHOOSE(NseSrc_DataType,SF_GamCold,'346'!B36,'346'!B36,'346'!B36,'346'!B36,'346'!B36,X37)</f>
        <v>1</v>
      </c>
    </row>
    <row r="38" spans="1:30">
      <c r="A38" s="11">
        <v>25000</v>
      </c>
      <c r="B38" s="11" t="s">
        <v>305</v>
      </c>
      <c r="C38" s="11">
        <v>15.5</v>
      </c>
      <c r="D38" s="29"/>
      <c r="E38" s="11">
        <v>0.1</v>
      </c>
      <c r="F38" s="11">
        <v>0.11</v>
      </c>
      <c r="G38" s="29">
        <v>30</v>
      </c>
      <c r="H38" s="11">
        <v>0.02</v>
      </c>
      <c r="I38" s="29">
        <v>60</v>
      </c>
      <c r="J38" s="20">
        <f t="shared" si="6"/>
        <v>1E-3</v>
      </c>
      <c r="K38" s="2">
        <f t="shared" si="7"/>
        <v>25</v>
      </c>
      <c r="L38" s="2">
        <f t="shared" si="8"/>
        <v>2.5</v>
      </c>
      <c r="M38" s="2">
        <f t="shared" si="9"/>
        <v>0</v>
      </c>
      <c r="N38" s="2">
        <f t="shared" si="10"/>
        <v>0</v>
      </c>
      <c r="O38" s="2">
        <f t="shared" si="12"/>
        <v>0</v>
      </c>
      <c r="P38" s="2">
        <f t="shared" si="13"/>
        <v>0</v>
      </c>
      <c r="Q38" s="2">
        <f t="shared" si="11"/>
        <v>0</v>
      </c>
      <c r="S38" s="2">
        <f t="shared" si="2"/>
        <v>33</v>
      </c>
      <c r="T38" s="2">
        <f t="shared" si="1"/>
        <v>16.996000000000009</v>
      </c>
      <c r="U38" s="2">
        <v>16.2</v>
      </c>
      <c r="V38" s="2">
        <v>0.1</v>
      </c>
      <c r="W38" s="2">
        <v>0.09</v>
      </c>
      <c r="X38" s="2">
        <v>0.04</v>
      </c>
      <c r="AA38" s="2">
        <f>CHOOSE(NseSrc_DataType,SF_ENR,'346'!C37,'346'!C37,'346'!C37,'346'!C37,'346'!C37,U38)</f>
        <v>5</v>
      </c>
      <c r="AB38" s="2">
        <f t="shared" ref="AB38:AB69" si="14">CHOOSE(ENRU_DataType,SF_ENRU,V38)</f>
        <v>0.1</v>
      </c>
      <c r="AC38" s="2">
        <f>CHOOSE(NseSrc_DataType,SF_NSgamma,'346'!B37,'346'!B37,'346'!B37,'346'!B37,'346'!B37,W38)</f>
        <v>0.1</v>
      </c>
      <c r="AD38" s="2">
        <f>CHOOSE(NseSrc_DataType,SF_GamCold,'346'!B37,'346'!B37,'346'!B37,'346'!B37,'346'!B37,X38)</f>
        <v>1</v>
      </c>
    </row>
    <row r="39" spans="1:30">
      <c r="A39" s="11">
        <v>26000</v>
      </c>
      <c r="B39" s="11" t="s">
        <v>305</v>
      </c>
      <c r="C39" s="11">
        <v>15.5</v>
      </c>
      <c r="D39" s="29"/>
      <c r="E39" s="11">
        <v>0.1</v>
      </c>
      <c r="F39" s="11">
        <v>0.11</v>
      </c>
      <c r="G39" s="29">
        <v>30</v>
      </c>
      <c r="H39" s="11">
        <v>0.03</v>
      </c>
      <c r="I39" s="29">
        <v>60</v>
      </c>
      <c r="J39" s="20">
        <f t="shared" si="6"/>
        <v>1E-3</v>
      </c>
      <c r="K39" s="2">
        <f t="shared" si="7"/>
        <v>26</v>
      </c>
      <c r="L39" s="2">
        <f t="shared" si="8"/>
        <v>3.5</v>
      </c>
      <c r="M39" s="2">
        <f t="shared" si="9"/>
        <v>0</v>
      </c>
      <c r="N39" s="2">
        <f t="shared" si="10"/>
        <v>0</v>
      </c>
      <c r="O39" s="2">
        <f t="shared" si="12"/>
        <v>0</v>
      </c>
      <c r="P39" s="2">
        <f t="shared" si="13"/>
        <v>0</v>
      </c>
      <c r="Q39" s="2">
        <f t="shared" si="11"/>
        <v>0</v>
      </c>
      <c r="S39" s="2">
        <f t="shared" si="2"/>
        <v>34</v>
      </c>
      <c r="T39" s="2">
        <f t="shared" ref="T39:T70" si="15">IF($S$4&gt;=0,IF(T38&gt;=$S$5,$S$5+0.0001,T38+$S$4),IF(T38&lt;=$S$5,$S$5-0.0001,T38+$S$4))</f>
        <v>17.524000000000008</v>
      </c>
      <c r="U39" s="2">
        <v>16</v>
      </c>
      <c r="V39" s="2">
        <v>0.1</v>
      </c>
      <c r="W39" s="2">
        <v>0.1</v>
      </c>
      <c r="X39" s="2">
        <v>0.04</v>
      </c>
      <c r="AA39" s="2">
        <f>CHOOSE(NseSrc_DataType,SF_ENR,'346'!C38,'346'!C38,'346'!C38,'346'!C38,'346'!C38,U39)</f>
        <v>5</v>
      </c>
      <c r="AB39" s="2">
        <f t="shared" si="14"/>
        <v>0.1</v>
      </c>
      <c r="AC39" s="2">
        <f>CHOOSE(NseSrc_DataType,SF_NSgamma,'346'!B38,'346'!B38,'346'!B38,'346'!B38,'346'!B38,W39)</f>
        <v>0.1</v>
      </c>
      <c r="AD39" s="2">
        <f>CHOOSE(NseSrc_DataType,SF_GamCold,'346'!B38,'346'!B38,'346'!B38,'346'!B38,'346'!B38,X39)</f>
        <v>1</v>
      </c>
    </row>
    <row r="40" spans="1:30">
      <c r="A40" s="11">
        <v>26500</v>
      </c>
      <c r="B40" s="11" t="s">
        <v>305</v>
      </c>
      <c r="C40" s="11">
        <v>15.5</v>
      </c>
      <c r="D40" s="29"/>
      <c r="E40" s="11">
        <v>0.1</v>
      </c>
      <c r="F40" s="11">
        <v>0.1</v>
      </c>
      <c r="G40" s="29">
        <v>30</v>
      </c>
      <c r="H40" s="11">
        <v>0.04</v>
      </c>
      <c r="I40" s="29">
        <v>60</v>
      </c>
      <c r="J40" s="20">
        <f t="shared" si="6"/>
        <v>1E-3</v>
      </c>
      <c r="K40" s="2">
        <f t="shared" si="7"/>
        <v>26.5</v>
      </c>
      <c r="L40" s="2">
        <f t="shared" si="8"/>
        <v>4</v>
      </c>
      <c r="M40" s="2">
        <f t="shared" si="9"/>
        <v>0</v>
      </c>
      <c r="N40" s="2">
        <f t="shared" si="10"/>
        <v>0</v>
      </c>
      <c r="O40" s="2">
        <f t="shared" si="12"/>
        <v>0</v>
      </c>
      <c r="P40" s="2">
        <f t="shared" si="13"/>
        <v>0</v>
      </c>
      <c r="Q40" s="2">
        <f t="shared" si="11"/>
        <v>0</v>
      </c>
      <c r="S40" s="2">
        <f t="shared" si="2"/>
        <v>35</v>
      </c>
      <c r="T40" s="2">
        <f t="shared" si="15"/>
        <v>18.052000000000007</v>
      </c>
      <c r="U40" s="2">
        <v>16</v>
      </c>
      <c r="V40" s="2">
        <v>0.1</v>
      </c>
      <c r="W40" s="2">
        <v>0.1</v>
      </c>
      <c r="X40" s="2">
        <v>0.04</v>
      </c>
      <c r="AA40" s="2">
        <f>CHOOSE(NseSrc_DataType,SF_ENR,'346'!C39,'346'!C39,'346'!C39,'346'!C39,'346'!C39,U40)</f>
        <v>5</v>
      </c>
      <c r="AB40" s="2">
        <f t="shared" si="14"/>
        <v>0.1</v>
      </c>
      <c r="AC40" s="2">
        <f>CHOOSE(NseSrc_DataType,SF_NSgamma,'346'!B39,'346'!B39,'346'!B39,'346'!B39,'346'!B39,W40)</f>
        <v>0.1</v>
      </c>
      <c r="AD40" s="2">
        <f>CHOOSE(NseSrc_DataType,SF_GamCold,'346'!B39,'346'!B39,'346'!B39,'346'!B39,'346'!B39,X40)</f>
        <v>1</v>
      </c>
    </row>
    <row r="41" spans="1:30">
      <c r="A41" s="11">
        <v>27000</v>
      </c>
      <c r="B41" s="11" t="s">
        <v>305</v>
      </c>
      <c r="C41" s="11">
        <v>15.5</v>
      </c>
      <c r="D41" s="29"/>
      <c r="E41" s="11">
        <v>0.1</v>
      </c>
      <c r="F41" s="11">
        <v>0.1</v>
      </c>
      <c r="G41" s="29">
        <v>30</v>
      </c>
      <c r="H41" s="11">
        <v>0.05</v>
      </c>
      <c r="I41" s="29">
        <v>60</v>
      </c>
      <c r="J41" s="20">
        <f t="shared" si="6"/>
        <v>1E-3</v>
      </c>
      <c r="K41" s="2">
        <f t="shared" si="7"/>
        <v>27</v>
      </c>
      <c r="L41" s="2">
        <f t="shared" si="8"/>
        <v>4.5</v>
      </c>
      <c r="M41" s="2">
        <f t="shared" si="9"/>
        <v>0</v>
      </c>
      <c r="N41" s="2">
        <f t="shared" si="10"/>
        <v>0</v>
      </c>
      <c r="O41" s="2">
        <f t="shared" si="12"/>
        <v>0</v>
      </c>
      <c r="P41" s="2">
        <f t="shared" si="13"/>
        <v>0</v>
      </c>
      <c r="Q41" s="2">
        <f t="shared" si="11"/>
        <v>0</v>
      </c>
      <c r="S41" s="2">
        <f t="shared" si="2"/>
        <v>36</v>
      </c>
      <c r="T41" s="2">
        <f t="shared" si="15"/>
        <v>18.580000000000005</v>
      </c>
      <c r="U41" s="2">
        <v>15.9</v>
      </c>
      <c r="V41" s="2">
        <v>0.1</v>
      </c>
      <c r="W41" s="2">
        <v>0.1</v>
      </c>
      <c r="X41" s="2">
        <v>0.04</v>
      </c>
      <c r="AA41" s="2">
        <f>CHOOSE(NseSrc_DataType,SF_ENR,'346'!C40,'346'!C40,'346'!C40,'346'!C40,'346'!C40,U41)</f>
        <v>5</v>
      </c>
      <c r="AB41" s="2">
        <f t="shared" si="14"/>
        <v>0.1</v>
      </c>
      <c r="AC41" s="2">
        <f>CHOOSE(NseSrc_DataType,SF_NSgamma,'346'!B40,'346'!B40,'346'!B40,'346'!B40,'346'!B40,W41)</f>
        <v>0.1</v>
      </c>
      <c r="AD41" s="2">
        <f>CHOOSE(NseSrc_DataType,SF_GamCold,'346'!B40,'346'!B40,'346'!B40,'346'!B40,'346'!B40,X41)</f>
        <v>1</v>
      </c>
    </row>
    <row r="42" spans="1:30">
      <c r="A42" s="11">
        <v>28000</v>
      </c>
      <c r="B42" s="11" t="s">
        <v>305</v>
      </c>
      <c r="C42" s="11">
        <v>15.5</v>
      </c>
      <c r="D42" s="29"/>
      <c r="E42" s="11">
        <v>0.1</v>
      </c>
      <c r="F42" s="11">
        <v>0.1</v>
      </c>
      <c r="G42" s="29">
        <v>30</v>
      </c>
      <c r="H42" s="11">
        <v>0.06</v>
      </c>
      <c r="I42" s="29">
        <v>60</v>
      </c>
      <c r="J42" s="20">
        <f t="shared" si="6"/>
        <v>1E-3</v>
      </c>
      <c r="K42" s="2">
        <f t="shared" si="7"/>
        <v>28</v>
      </c>
      <c r="L42" s="2">
        <f t="shared" si="8"/>
        <v>5.5</v>
      </c>
      <c r="M42" s="2">
        <f t="shared" si="9"/>
        <v>0</v>
      </c>
      <c r="N42" s="2">
        <f t="shared" si="10"/>
        <v>0</v>
      </c>
      <c r="O42" s="2">
        <f t="shared" si="12"/>
        <v>0</v>
      </c>
      <c r="P42" s="2">
        <f t="shared" si="13"/>
        <v>0</v>
      </c>
      <c r="Q42" s="2">
        <f t="shared" si="11"/>
        <v>0</v>
      </c>
      <c r="S42" s="2">
        <f t="shared" si="2"/>
        <v>37</v>
      </c>
      <c r="T42" s="2">
        <f t="shared" si="15"/>
        <v>19.108000000000004</v>
      </c>
      <c r="U42" s="2">
        <v>15.9</v>
      </c>
      <c r="V42" s="2">
        <v>0.1</v>
      </c>
      <c r="W42" s="2">
        <v>0.1</v>
      </c>
      <c r="X42" s="2">
        <v>0.04</v>
      </c>
      <c r="AA42" s="2">
        <f>CHOOSE(NseSrc_DataType,SF_ENR,'346'!C41,'346'!C41,'346'!C41,'346'!C41,'346'!C41,U42)</f>
        <v>5</v>
      </c>
      <c r="AB42" s="2">
        <f t="shared" si="14"/>
        <v>0.1</v>
      </c>
      <c r="AC42" s="2">
        <f>CHOOSE(NseSrc_DataType,SF_NSgamma,'346'!B41,'346'!B41,'346'!B41,'346'!B41,'346'!B41,W42)</f>
        <v>0.1</v>
      </c>
      <c r="AD42" s="2">
        <f>CHOOSE(NseSrc_DataType,SF_GamCold,'346'!B41,'346'!B41,'346'!B41,'346'!B41,'346'!B41,X42)</f>
        <v>1</v>
      </c>
    </row>
    <row r="43" spans="1:30">
      <c r="A43" s="11">
        <v>29000</v>
      </c>
      <c r="B43" s="11" t="s">
        <v>305</v>
      </c>
      <c r="C43" s="11">
        <v>15.5</v>
      </c>
      <c r="D43" s="29"/>
      <c r="E43" s="11">
        <v>0.1</v>
      </c>
      <c r="F43" s="11">
        <v>9.0999999999999998E-2</v>
      </c>
      <c r="G43" s="29">
        <v>30</v>
      </c>
      <c r="H43" s="11">
        <v>7.0000000000000007E-2</v>
      </c>
      <c r="I43" s="29">
        <v>60</v>
      </c>
      <c r="J43" s="20">
        <f t="shared" si="6"/>
        <v>1E-3</v>
      </c>
      <c r="K43" s="2">
        <f t="shared" si="7"/>
        <v>29</v>
      </c>
      <c r="L43" s="2">
        <f t="shared" si="8"/>
        <v>6.5</v>
      </c>
      <c r="M43" s="2">
        <f t="shared" si="9"/>
        <v>0</v>
      </c>
      <c r="N43" s="2">
        <f t="shared" si="10"/>
        <v>0</v>
      </c>
      <c r="O43" s="2">
        <f t="shared" si="12"/>
        <v>0</v>
      </c>
      <c r="P43" s="2">
        <f t="shared" si="13"/>
        <v>0</v>
      </c>
      <c r="Q43" s="2">
        <f t="shared" si="11"/>
        <v>0</v>
      </c>
      <c r="S43" s="2">
        <f t="shared" si="2"/>
        <v>38</v>
      </c>
      <c r="T43" s="2">
        <f t="shared" si="15"/>
        <v>19.636000000000003</v>
      </c>
      <c r="U43" s="2">
        <v>15.8</v>
      </c>
      <c r="V43" s="2">
        <v>0.1</v>
      </c>
      <c r="W43" s="2">
        <v>0.11</v>
      </c>
      <c r="X43" s="2">
        <v>0.03</v>
      </c>
      <c r="AA43" s="2">
        <f>CHOOSE(NseSrc_DataType,SF_ENR,'346'!C42,'346'!C42,'346'!C42,'346'!C42,'346'!C42,U43)</f>
        <v>5</v>
      </c>
      <c r="AB43" s="2">
        <f t="shared" si="14"/>
        <v>0.1</v>
      </c>
      <c r="AC43" s="2">
        <f>CHOOSE(NseSrc_DataType,SF_NSgamma,'346'!B42,'346'!B42,'346'!B42,'346'!B42,'346'!B42,W43)</f>
        <v>0.1</v>
      </c>
      <c r="AD43" s="2">
        <f>CHOOSE(NseSrc_DataType,SF_GamCold,'346'!B42,'346'!B42,'346'!B42,'346'!B42,'346'!B42,X43)</f>
        <v>1</v>
      </c>
    </row>
    <row r="44" spans="1:30">
      <c r="A44" s="11">
        <v>30000</v>
      </c>
      <c r="B44" s="11" t="s">
        <v>305</v>
      </c>
      <c r="C44" s="11">
        <v>15.5</v>
      </c>
      <c r="D44" s="29"/>
      <c r="E44" s="11">
        <v>0.1</v>
      </c>
      <c r="F44" s="11">
        <v>8.1000000000000003E-2</v>
      </c>
      <c r="G44" s="29">
        <v>30</v>
      </c>
      <c r="H44" s="11">
        <v>0.08</v>
      </c>
      <c r="I44" s="29">
        <v>60</v>
      </c>
      <c r="J44" s="20">
        <f t="shared" si="6"/>
        <v>1E-3</v>
      </c>
      <c r="K44" s="2">
        <f t="shared" si="7"/>
        <v>30</v>
      </c>
      <c r="L44" s="2">
        <f t="shared" si="8"/>
        <v>7.5</v>
      </c>
      <c r="M44" s="2">
        <f t="shared" si="9"/>
        <v>0</v>
      </c>
      <c r="N44" s="2">
        <f t="shared" si="10"/>
        <v>0</v>
      </c>
      <c r="O44" s="2">
        <f t="shared" si="12"/>
        <v>0</v>
      </c>
      <c r="P44" s="2">
        <f t="shared" si="13"/>
        <v>0</v>
      </c>
      <c r="Q44" s="2">
        <f t="shared" si="11"/>
        <v>0</v>
      </c>
      <c r="S44" s="2">
        <f t="shared" si="2"/>
        <v>39</v>
      </c>
      <c r="T44" s="2">
        <f t="shared" si="15"/>
        <v>20.164000000000001</v>
      </c>
      <c r="U44" s="2">
        <v>15.8</v>
      </c>
      <c r="V44" s="2">
        <v>0.1</v>
      </c>
      <c r="W44" s="2">
        <v>0.11</v>
      </c>
      <c r="X44" s="2">
        <v>0.03</v>
      </c>
      <c r="AA44" s="2">
        <f>CHOOSE(NseSrc_DataType,SF_ENR,'346'!C43,'346'!C43,'346'!C43,'346'!C43,'346'!C43,U44)</f>
        <v>5</v>
      </c>
      <c r="AB44" s="2">
        <f t="shared" si="14"/>
        <v>0.1</v>
      </c>
      <c r="AC44" s="2">
        <f>CHOOSE(NseSrc_DataType,SF_NSgamma,'346'!B43,'346'!B43,'346'!B43,'346'!B43,'346'!B43,W44)</f>
        <v>0.1</v>
      </c>
      <c r="AD44" s="2">
        <f>CHOOSE(NseSrc_DataType,SF_GamCold,'346'!B43,'346'!B43,'346'!B43,'346'!B43,'346'!B43,X44)</f>
        <v>1</v>
      </c>
    </row>
    <row r="45" spans="1:30">
      <c r="A45" s="11">
        <v>31000</v>
      </c>
      <c r="B45" s="11" t="s">
        <v>305</v>
      </c>
      <c r="C45" s="11">
        <v>15.5</v>
      </c>
      <c r="D45" s="29"/>
      <c r="E45" s="11">
        <v>0.1</v>
      </c>
      <c r="F45" s="11">
        <v>7.0999999999999994E-2</v>
      </c>
      <c r="G45" s="29">
        <v>30</v>
      </c>
      <c r="H45" s="11">
        <v>0.09</v>
      </c>
      <c r="I45" s="29">
        <v>60</v>
      </c>
      <c r="J45" s="20">
        <f t="shared" si="6"/>
        <v>1E-3</v>
      </c>
      <c r="K45" s="2">
        <f t="shared" si="7"/>
        <v>31</v>
      </c>
      <c r="L45" s="2">
        <f t="shared" si="8"/>
        <v>8.5</v>
      </c>
      <c r="M45" s="2">
        <f t="shared" si="9"/>
        <v>0</v>
      </c>
      <c r="N45" s="2">
        <f t="shared" si="10"/>
        <v>0</v>
      </c>
      <c r="O45" s="2">
        <f t="shared" si="12"/>
        <v>0</v>
      </c>
      <c r="P45" s="2">
        <f t="shared" si="13"/>
        <v>0</v>
      </c>
      <c r="Q45" s="2">
        <f t="shared" si="11"/>
        <v>0</v>
      </c>
      <c r="S45" s="2">
        <f t="shared" si="2"/>
        <v>40</v>
      </c>
      <c r="T45" s="2">
        <f t="shared" si="15"/>
        <v>20.692</v>
      </c>
      <c r="U45" s="2">
        <v>15.7</v>
      </c>
      <c r="V45" s="2">
        <v>0.1</v>
      </c>
      <c r="W45" s="2">
        <v>0.11</v>
      </c>
      <c r="X45" s="2">
        <v>0.02</v>
      </c>
      <c r="AA45" s="2">
        <f>CHOOSE(NseSrc_DataType,SF_ENR,'346'!C44,'346'!C44,'346'!C44,'346'!C44,'346'!C44,U45)</f>
        <v>5</v>
      </c>
      <c r="AB45" s="2">
        <f t="shared" si="14"/>
        <v>0.1</v>
      </c>
      <c r="AC45" s="2">
        <f>CHOOSE(NseSrc_DataType,SF_NSgamma,'346'!B44,'346'!B44,'346'!B44,'346'!B44,'346'!B44,W45)</f>
        <v>0.1</v>
      </c>
      <c r="AD45" s="2">
        <f>CHOOSE(NseSrc_DataType,SF_GamCold,'346'!B44,'346'!B44,'346'!B44,'346'!B44,'346'!B44,X45)</f>
        <v>1</v>
      </c>
    </row>
    <row r="46" spans="1:30">
      <c r="A46" s="11">
        <v>32000</v>
      </c>
      <c r="B46" s="11" t="s">
        <v>305</v>
      </c>
      <c r="C46" s="11">
        <v>15.5</v>
      </c>
      <c r="D46" s="29"/>
      <c r="E46" s="11">
        <v>0.1</v>
      </c>
      <c r="F46" s="11">
        <v>6.0999999999999999E-2</v>
      </c>
      <c r="G46" s="29">
        <v>30</v>
      </c>
      <c r="H46" s="11">
        <v>0.1</v>
      </c>
      <c r="I46" s="29">
        <v>60</v>
      </c>
      <c r="J46" s="20">
        <f t="shared" si="6"/>
        <v>1E-3</v>
      </c>
      <c r="K46" s="2">
        <f t="shared" si="7"/>
        <v>32</v>
      </c>
      <c r="L46" s="2">
        <f t="shared" si="8"/>
        <v>9.5</v>
      </c>
      <c r="M46" s="2">
        <f t="shared" si="9"/>
        <v>0</v>
      </c>
      <c r="N46" s="2">
        <f t="shared" si="10"/>
        <v>0</v>
      </c>
      <c r="O46" s="2">
        <f t="shared" si="12"/>
        <v>0</v>
      </c>
      <c r="P46" s="2">
        <f t="shared" si="13"/>
        <v>0</v>
      </c>
      <c r="Q46" s="2">
        <f t="shared" si="11"/>
        <v>0</v>
      </c>
      <c r="S46" s="2">
        <f t="shared" si="2"/>
        <v>41</v>
      </c>
      <c r="T46" s="2">
        <f t="shared" si="15"/>
        <v>21.22</v>
      </c>
      <c r="U46" s="2">
        <v>15.7</v>
      </c>
      <c r="V46" s="2">
        <v>0.1</v>
      </c>
      <c r="W46" s="2">
        <v>0.11</v>
      </c>
      <c r="X46" s="2">
        <v>0.02</v>
      </c>
      <c r="AA46" s="2">
        <f>CHOOSE(NseSrc_DataType,SF_ENR,'346'!C45,'346'!C45,'346'!C45,'346'!C45,'346'!C45,U46)</f>
        <v>5</v>
      </c>
      <c r="AB46" s="2">
        <f t="shared" si="14"/>
        <v>0.1</v>
      </c>
      <c r="AC46" s="2">
        <f>CHOOSE(NseSrc_DataType,SF_NSgamma,'346'!B45,'346'!B45,'346'!B45,'346'!B45,'346'!B45,W46)</f>
        <v>0.1</v>
      </c>
      <c r="AD46" s="2">
        <f>CHOOSE(NseSrc_DataType,SF_GamCold,'346'!B45,'346'!B45,'346'!B45,'346'!B45,'346'!B45,X46)</f>
        <v>1</v>
      </c>
    </row>
    <row r="47" spans="1:30">
      <c r="A47" s="11">
        <v>33000</v>
      </c>
      <c r="B47" s="11" t="s">
        <v>305</v>
      </c>
      <c r="C47" s="11">
        <v>15.5</v>
      </c>
      <c r="D47" s="29"/>
      <c r="E47" s="11">
        <v>0.1</v>
      </c>
      <c r="F47" s="11">
        <v>5.0999999999999997E-2</v>
      </c>
      <c r="G47" s="29">
        <v>30</v>
      </c>
      <c r="H47" s="11">
        <v>0.1</v>
      </c>
      <c r="I47" s="29">
        <v>60</v>
      </c>
      <c r="J47" s="20">
        <f t="shared" si="6"/>
        <v>1E-3</v>
      </c>
      <c r="K47" s="2">
        <f t="shared" si="7"/>
        <v>33</v>
      </c>
      <c r="L47" s="2">
        <f t="shared" si="8"/>
        <v>10.5</v>
      </c>
      <c r="M47" s="2">
        <f t="shared" si="9"/>
        <v>0</v>
      </c>
      <c r="N47" s="2">
        <f t="shared" si="10"/>
        <v>0</v>
      </c>
      <c r="O47" s="2">
        <f t="shared" si="12"/>
        <v>0</v>
      </c>
      <c r="P47" s="2">
        <f t="shared" si="13"/>
        <v>0</v>
      </c>
      <c r="Q47" s="2">
        <f t="shared" si="11"/>
        <v>0</v>
      </c>
      <c r="S47" s="2">
        <f t="shared" si="2"/>
        <v>42</v>
      </c>
      <c r="T47" s="2">
        <f t="shared" si="15"/>
        <v>21.747999999999998</v>
      </c>
      <c r="U47" s="2">
        <v>15.5</v>
      </c>
      <c r="V47" s="2">
        <v>0.1</v>
      </c>
      <c r="W47" s="2">
        <v>0.11</v>
      </c>
      <c r="X47" s="2">
        <v>0.02</v>
      </c>
      <c r="AA47" s="2">
        <f>CHOOSE(NseSrc_DataType,SF_ENR,'346'!C46,'346'!C46,'346'!C46,'346'!C46,'346'!C46,U47)</f>
        <v>5</v>
      </c>
      <c r="AB47" s="2">
        <f t="shared" si="14"/>
        <v>0.1</v>
      </c>
      <c r="AC47" s="2">
        <f>CHOOSE(NseSrc_DataType,SF_NSgamma,'346'!B46,'346'!B46,'346'!B46,'346'!B46,'346'!B46,W47)</f>
        <v>0.1</v>
      </c>
      <c r="AD47" s="2">
        <f>CHOOSE(NseSrc_DataType,SF_GamCold,'346'!B46,'346'!B46,'346'!B46,'346'!B46,'346'!B46,X47)</f>
        <v>1</v>
      </c>
    </row>
    <row r="48" spans="1:30">
      <c r="A48" s="11">
        <v>34000</v>
      </c>
      <c r="B48" s="11" t="s">
        <v>305</v>
      </c>
      <c r="C48" s="11">
        <v>15.5</v>
      </c>
      <c r="D48" s="29"/>
      <c r="E48" s="11">
        <v>0.1</v>
      </c>
      <c r="F48" s="11">
        <v>4.1000000000000002E-2</v>
      </c>
      <c r="G48" s="29">
        <v>30</v>
      </c>
      <c r="H48" s="11">
        <v>0.1</v>
      </c>
      <c r="I48" s="29">
        <v>60</v>
      </c>
      <c r="J48" s="20">
        <f t="shared" si="6"/>
        <v>1E-3</v>
      </c>
      <c r="K48" s="2">
        <f t="shared" si="7"/>
        <v>34</v>
      </c>
      <c r="L48" s="2">
        <f t="shared" si="8"/>
        <v>11.5</v>
      </c>
      <c r="M48" s="2">
        <f t="shared" si="9"/>
        <v>0</v>
      </c>
      <c r="N48" s="2">
        <f t="shared" si="10"/>
        <v>0</v>
      </c>
      <c r="O48" s="2">
        <f t="shared" si="12"/>
        <v>0</v>
      </c>
      <c r="P48" s="2">
        <f t="shared" si="13"/>
        <v>0</v>
      </c>
      <c r="Q48" s="2">
        <f t="shared" si="11"/>
        <v>0</v>
      </c>
      <c r="S48" s="2">
        <f t="shared" si="2"/>
        <v>43</v>
      </c>
      <c r="T48" s="2">
        <f t="shared" si="15"/>
        <v>22.275999999999996</v>
      </c>
      <c r="U48" s="2">
        <v>15.5</v>
      </c>
      <c r="V48" s="2">
        <v>0.1</v>
      </c>
      <c r="W48" s="2">
        <v>0.11</v>
      </c>
      <c r="X48" s="2">
        <v>0.02</v>
      </c>
      <c r="AA48" s="2">
        <f>CHOOSE(NseSrc_DataType,SF_ENR,'346'!C47,'346'!C47,'346'!C47,'346'!C47,'346'!C47,U48)</f>
        <v>5</v>
      </c>
      <c r="AB48" s="2">
        <f t="shared" si="14"/>
        <v>0.1</v>
      </c>
      <c r="AC48" s="2">
        <f>CHOOSE(NseSrc_DataType,SF_NSgamma,'346'!B47,'346'!B47,'346'!B47,'346'!B47,'346'!B47,W48)</f>
        <v>0.1</v>
      </c>
      <c r="AD48" s="2">
        <f>CHOOSE(NseSrc_DataType,SF_GamCold,'346'!B47,'346'!B47,'346'!B47,'346'!B47,'346'!B47,X48)</f>
        <v>1</v>
      </c>
    </row>
    <row r="49" spans="1:30">
      <c r="A49" s="11">
        <v>35000</v>
      </c>
      <c r="B49" s="11" t="s">
        <v>305</v>
      </c>
      <c r="C49" s="11">
        <v>15.5</v>
      </c>
      <c r="D49" s="29"/>
      <c r="E49" s="11">
        <v>0.1</v>
      </c>
      <c r="F49" s="11">
        <v>3.1E-2</v>
      </c>
      <c r="G49" s="29">
        <v>30</v>
      </c>
      <c r="H49" s="11">
        <v>0.11</v>
      </c>
      <c r="I49" s="29">
        <v>60</v>
      </c>
      <c r="J49" s="20">
        <f t="shared" si="6"/>
        <v>1E-3</v>
      </c>
      <c r="K49" s="2">
        <f t="shared" si="7"/>
        <v>35</v>
      </c>
      <c r="L49" s="2">
        <f t="shared" si="8"/>
        <v>12.5</v>
      </c>
      <c r="M49" s="2">
        <f t="shared" si="9"/>
        <v>0</v>
      </c>
      <c r="N49" s="2">
        <f t="shared" si="10"/>
        <v>0</v>
      </c>
      <c r="O49" s="2">
        <f t="shared" si="12"/>
        <v>0</v>
      </c>
      <c r="P49" s="2">
        <f t="shared" si="13"/>
        <v>0</v>
      </c>
      <c r="Q49" s="2">
        <f t="shared" si="11"/>
        <v>0</v>
      </c>
      <c r="S49" s="2">
        <f t="shared" si="2"/>
        <v>44</v>
      </c>
      <c r="T49" s="2">
        <f t="shared" si="15"/>
        <v>22.803999999999995</v>
      </c>
      <c r="U49" s="2">
        <v>15.5</v>
      </c>
      <c r="V49" s="2">
        <v>0.1</v>
      </c>
      <c r="W49" s="2">
        <v>0.11</v>
      </c>
      <c r="X49" s="2">
        <v>0.02</v>
      </c>
      <c r="AA49" s="2">
        <f>CHOOSE(NseSrc_DataType,SF_ENR,'346'!C48,'346'!C48,'346'!C48,'346'!C48,'346'!C48,U49)</f>
        <v>5</v>
      </c>
      <c r="AB49" s="2">
        <f t="shared" si="14"/>
        <v>0.1</v>
      </c>
      <c r="AC49" s="2">
        <f>CHOOSE(NseSrc_DataType,SF_NSgamma,'346'!B48,'346'!B48,'346'!B48,'346'!B48,'346'!B48,W49)</f>
        <v>0.1</v>
      </c>
      <c r="AD49" s="2">
        <f>CHOOSE(NseSrc_DataType,SF_GamCold,'346'!B48,'346'!B48,'346'!B48,'346'!B48,'346'!B48,X49)</f>
        <v>1</v>
      </c>
    </row>
    <row r="50" spans="1:30">
      <c r="A50" s="11">
        <v>36000</v>
      </c>
      <c r="B50" s="11" t="s">
        <v>305</v>
      </c>
      <c r="C50" s="11">
        <v>15.5</v>
      </c>
      <c r="D50" s="29"/>
      <c r="E50" s="11">
        <v>0.1</v>
      </c>
      <c r="F50" s="11">
        <v>2.1000000000000001E-2</v>
      </c>
      <c r="G50" s="29">
        <v>30</v>
      </c>
      <c r="H50" s="11">
        <v>0.11</v>
      </c>
      <c r="I50" s="29">
        <v>60</v>
      </c>
      <c r="J50" s="20">
        <f t="shared" si="6"/>
        <v>1E-3</v>
      </c>
      <c r="K50" s="2">
        <f t="shared" si="7"/>
        <v>36</v>
      </c>
      <c r="L50" s="2">
        <f t="shared" si="8"/>
        <v>13.5</v>
      </c>
      <c r="M50" s="2">
        <f t="shared" si="9"/>
        <v>0</v>
      </c>
      <c r="N50" s="2">
        <f t="shared" si="10"/>
        <v>0</v>
      </c>
      <c r="O50" s="2">
        <f t="shared" si="12"/>
        <v>0</v>
      </c>
      <c r="P50" s="2">
        <f t="shared" si="13"/>
        <v>0</v>
      </c>
      <c r="Q50" s="2">
        <f t="shared" si="11"/>
        <v>0</v>
      </c>
      <c r="S50" s="2">
        <f t="shared" si="2"/>
        <v>45</v>
      </c>
      <c r="T50" s="2">
        <f t="shared" si="15"/>
        <v>23.331999999999994</v>
      </c>
      <c r="U50" s="2">
        <v>15.5</v>
      </c>
      <c r="V50" s="2">
        <v>0.1</v>
      </c>
      <c r="W50" s="2">
        <v>0.11</v>
      </c>
      <c r="X50" s="2">
        <v>0.02</v>
      </c>
      <c r="AA50" s="2">
        <f>CHOOSE(NseSrc_DataType,SF_ENR,'346'!C49,'346'!C49,'346'!C49,'346'!C49,'346'!C49,U50)</f>
        <v>5</v>
      </c>
      <c r="AB50" s="2">
        <f t="shared" si="14"/>
        <v>0.1</v>
      </c>
      <c r="AC50" s="2">
        <f>CHOOSE(NseSrc_DataType,SF_NSgamma,'346'!B49,'346'!B49,'346'!B49,'346'!B49,'346'!B49,W50)</f>
        <v>0.1</v>
      </c>
      <c r="AD50" s="2">
        <f>CHOOSE(NseSrc_DataType,SF_GamCold,'346'!B49,'346'!B49,'346'!B49,'346'!B49,'346'!B49,X50)</f>
        <v>1</v>
      </c>
    </row>
    <row r="51" spans="1:30">
      <c r="A51" s="11">
        <v>37000</v>
      </c>
      <c r="B51" s="11" t="s">
        <v>305</v>
      </c>
      <c r="C51" s="11">
        <v>15.5</v>
      </c>
      <c r="D51" s="29"/>
      <c r="E51" s="11">
        <v>0.1</v>
      </c>
      <c r="F51" s="11">
        <v>0.01</v>
      </c>
      <c r="G51" s="29">
        <v>30</v>
      </c>
      <c r="H51" s="11">
        <v>0.11</v>
      </c>
      <c r="I51" s="29">
        <v>60</v>
      </c>
      <c r="J51" s="20">
        <f t="shared" si="6"/>
        <v>1E-3</v>
      </c>
      <c r="K51" s="2">
        <f t="shared" si="7"/>
        <v>37</v>
      </c>
      <c r="L51" s="2">
        <f t="shared" si="8"/>
        <v>14.5</v>
      </c>
      <c r="M51" s="2">
        <f t="shared" si="9"/>
        <v>0</v>
      </c>
      <c r="N51" s="2">
        <f t="shared" si="10"/>
        <v>0</v>
      </c>
      <c r="O51" s="2">
        <f t="shared" si="12"/>
        <v>0</v>
      </c>
      <c r="P51" s="2">
        <f t="shared" si="13"/>
        <v>0</v>
      </c>
      <c r="Q51" s="2">
        <f t="shared" si="11"/>
        <v>0</v>
      </c>
      <c r="S51" s="2">
        <f t="shared" si="2"/>
        <v>46</v>
      </c>
      <c r="T51" s="2">
        <f t="shared" si="15"/>
        <v>23.859999999999992</v>
      </c>
      <c r="U51" s="2">
        <v>15.5</v>
      </c>
      <c r="V51" s="2">
        <v>0.1</v>
      </c>
      <c r="W51" s="2">
        <v>0.11</v>
      </c>
      <c r="X51" s="2">
        <v>0.02</v>
      </c>
      <c r="AA51" s="2">
        <f>CHOOSE(NseSrc_DataType,SF_ENR,'346'!C50,'346'!C50,'346'!C50,'346'!C50,'346'!C50,U51)</f>
        <v>5</v>
      </c>
      <c r="AB51" s="2">
        <f t="shared" si="14"/>
        <v>0.1</v>
      </c>
      <c r="AC51" s="2">
        <f>CHOOSE(NseSrc_DataType,SF_NSgamma,'346'!B50,'346'!B50,'346'!B50,'346'!B50,'346'!B50,W51)</f>
        <v>0.1</v>
      </c>
      <c r="AD51" s="2">
        <f>CHOOSE(NseSrc_DataType,SF_GamCold,'346'!B50,'346'!B50,'346'!B50,'346'!B50,'346'!B50,X51)</f>
        <v>1</v>
      </c>
    </row>
    <row r="52" spans="1:30">
      <c r="A52" s="11">
        <v>38000</v>
      </c>
      <c r="B52" s="11" t="s">
        <v>305</v>
      </c>
      <c r="C52" s="11">
        <v>15.5</v>
      </c>
      <c r="D52" s="29"/>
      <c r="E52" s="11">
        <v>0.1</v>
      </c>
      <c r="F52" s="11">
        <v>0</v>
      </c>
      <c r="G52" s="29">
        <v>30</v>
      </c>
      <c r="H52" s="11">
        <v>0.11</v>
      </c>
      <c r="I52" s="29">
        <v>60</v>
      </c>
      <c r="J52" s="20">
        <f t="shared" si="6"/>
        <v>1E-3</v>
      </c>
      <c r="K52" s="2">
        <f t="shared" si="7"/>
        <v>38</v>
      </c>
      <c r="L52" s="2">
        <f t="shared" si="8"/>
        <v>15.5</v>
      </c>
      <c r="M52" s="2">
        <f t="shared" si="9"/>
        <v>0</v>
      </c>
      <c r="N52" s="2">
        <f t="shared" si="10"/>
        <v>0</v>
      </c>
      <c r="O52" s="2">
        <f t="shared" si="12"/>
        <v>0</v>
      </c>
      <c r="P52" s="2">
        <f t="shared" si="13"/>
        <v>0</v>
      </c>
      <c r="Q52" s="2">
        <f t="shared" si="11"/>
        <v>0</v>
      </c>
      <c r="S52" s="2">
        <f t="shared" si="2"/>
        <v>47</v>
      </c>
      <c r="T52" s="2">
        <f t="shared" si="15"/>
        <v>24.387999999999991</v>
      </c>
      <c r="U52" s="2">
        <v>15.5</v>
      </c>
      <c r="V52" s="2">
        <v>0.1</v>
      </c>
      <c r="W52" s="2">
        <v>0.11</v>
      </c>
      <c r="X52" s="2">
        <v>0.02</v>
      </c>
      <c r="AA52" s="2">
        <f>CHOOSE(NseSrc_DataType,SF_ENR,'346'!C51,'346'!C51,'346'!C51,'346'!C51,'346'!C51,U52)</f>
        <v>5</v>
      </c>
      <c r="AB52" s="2">
        <f t="shared" si="14"/>
        <v>0.1</v>
      </c>
      <c r="AC52" s="2">
        <f>CHOOSE(NseSrc_DataType,SF_NSgamma,'346'!B51,'346'!B51,'346'!B51,'346'!B51,'346'!B51,W52)</f>
        <v>0.1</v>
      </c>
      <c r="AD52" s="2">
        <f>CHOOSE(NseSrc_DataType,SF_GamCold,'346'!B51,'346'!B51,'346'!B51,'346'!B51,'346'!B51,X52)</f>
        <v>1</v>
      </c>
    </row>
    <row r="53" spans="1:30">
      <c r="A53" s="11">
        <v>39000</v>
      </c>
      <c r="B53" s="11" t="s">
        <v>305</v>
      </c>
      <c r="C53" s="11">
        <v>15.5</v>
      </c>
      <c r="D53" s="29"/>
      <c r="E53" s="11">
        <v>0.1</v>
      </c>
      <c r="F53" s="11">
        <v>0.01</v>
      </c>
      <c r="G53" s="29">
        <v>30</v>
      </c>
      <c r="H53" s="11">
        <v>0.11</v>
      </c>
      <c r="I53" s="29">
        <v>60</v>
      </c>
      <c r="J53" s="20">
        <f t="shared" si="6"/>
        <v>1E-3</v>
      </c>
      <c r="K53" s="2">
        <f t="shared" si="7"/>
        <v>39</v>
      </c>
      <c r="L53" s="2">
        <f t="shared" si="8"/>
        <v>16.5</v>
      </c>
      <c r="M53" s="2">
        <f t="shared" si="9"/>
        <v>0</v>
      </c>
      <c r="N53" s="2">
        <f t="shared" si="10"/>
        <v>0</v>
      </c>
      <c r="O53" s="2">
        <f t="shared" si="12"/>
        <v>0</v>
      </c>
      <c r="P53" s="2">
        <f t="shared" si="13"/>
        <v>0</v>
      </c>
      <c r="Q53" s="2">
        <f t="shared" si="11"/>
        <v>0</v>
      </c>
      <c r="S53" s="2">
        <f t="shared" si="2"/>
        <v>48</v>
      </c>
      <c r="T53" s="2">
        <f t="shared" si="15"/>
        <v>24.91599999999999</v>
      </c>
      <c r="U53" s="2">
        <v>15.5</v>
      </c>
      <c r="V53" s="2">
        <v>0.1</v>
      </c>
      <c r="W53" s="2">
        <v>0.11</v>
      </c>
      <c r="X53" s="2">
        <v>0.02</v>
      </c>
      <c r="AA53" s="2">
        <f>CHOOSE(NseSrc_DataType,SF_ENR,'346'!C52,'346'!C52,'346'!C52,'346'!C52,'346'!C52,U53)</f>
        <v>5</v>
      </c>
      <c r="AB53" s="2">
        <f t="shared" si="14"/>
        <v>0.1</v>
      </c>
      <c r="AC53" s="2">
        <f>CHOOSE(NseSrc_DataType,SF_NSgamma,'346'!B52,'346'!B52,'346'!B52,'346'!B52,'346'!B52,W53)</f>
        <v>0.1</v>
      </c>
      <c r="AD53" s="2">
        <f>CHOOSE(NseSrc_DataType,SF_GamCold,'346'!B52,'346'!B52,'346'!B52,'346'!B52,'346'!B52,X53)</f>
        <v>1</v>
      </c>
    </row>
    <row r="54" spans="1:30">
      <c r="A54" s="11">
        <v>40000</v>
      </c>
      <c r="B54" s="11" t="s">
        <v>305</v>
      </c>
      <c r="C54" s="11">
        <v>15.5</v>
      </c>
      <c r="D54" s="29"/>
      <c r="E54" s="11">
        <v>0.1</v>
      </c>
      <c r="F54" s="11">
        <v>0.04</v>
      </c>
      <c r="G54" s="29">
        <v>30</v>
      </c>
      <c r="H54" s="11">
        <v>0.12</v>
      </c>
      <c r="I54" s="29">
        <v>60</v>
      </c>
      <c r="J54" s="20">
        <f t="shared" si="6"/>
        <v>1E-3</v>
      </c>
      <c r="K54" s="2">
        <f t="shared" si="7"/>
        <v>40</v>
      </c>
      <c r="L54" s="2">
        <f t="shared" si="8"/>
        <v>17.5</v>
      </c>
      <c r="M54" s="2">
        <f t="shared" si="9"/>
        <v>0</v>
      </c>
      <c r="N54" s="2">
        <f t="shared" si="10"/>
        <v>0</v>
      </c>
      <c r="O54" s="2">
        <f t="shared" si="12"/>
        <v>0</v>
      </c>
      <c r="P54" s="2">
        <f t="shared" si="13"/>
        <v>0</v>
      </c>
      <c r="Q54" s="2">
        <f t="shared" si="11"/>
        <v>0</v>
      </c>
      <c r="S54" s="2">
        <f t="shared" si="2"/>
        <v>49</v>
      </c>
      <c r="T54" s="2">
        <f t="shared" si="15"/>
        <v>25.443999999999988</v>
      </c>
      <c r="U54" s="2">
        <v>15.5</v>
      </c>
      <c r="V54" s="2">
        <v>0.1</v>
      </c>
      <c r="W54" s="2">
        <v>0.11</v>
      </c>
      <c r="X54" s="2">
        <v>0.02</v>
      </c>
      <c r="AA54" s="2">
        <f>CHOOSE(NseSrc_DataType,SF_ENR,'346'!C53,'346'!C53,'346'!C53,'346'!C53,'346'!C53,U54)</f>
        <v>5</v>
      </c>
      <c r="AB54" s="2">
        <f t="shared" si="14"/>
        <v>0.1</v>
      </c>
      <c r="AC54" s="2">
        <f>CHOOSE(NseSrc_DataType,SF_NSgamma,'346'!B53,'346'!B53,'346'!B53,'346'!B53,'346'!B53,W54)</f>
        <v>0.1</v>
      </c>
      <c r="AD54" s="2">
        <f>CHOOSE(NseSrc_DataType,SF_GamCold,'346'!B53,'346'!B53,'346'!B53,'346'!B53,'346'!B53,X54)</f>
        <v>1</v>
      </c>
    </row>
    <row r="55" spans="1:30">
      <c r="A55" s="11">
        <v>41000</v>
      </c>
      <c r="B55" s="11" t="s">
        <v>305</v>
      </c>
      <c r="C55" s="11">
        <v>15.5</v>
      </c>
      <c r="D55" s="29"/>
      <c r="E55" s="11">
        <v>0.1</v>
      </c>
      <c r="F55" s="11">
        <v>0.05</v>
      </c>
      <c r="G55" s="29">
        <v>30</v>
      </c>
      <c r="H55" s="11">
        <v>0.12</v>
      </c>
      <c r="I55" s="29">
        <v>60</v>
      </c>
      <c r="J55" s="20">
        <f t="shared" si="6"/>
        <v>1E-3</v>
      </c>
      <c r="K55" s="2">
        <f t="shared" si="7"/>
        <v>41</v>
      </c>
      <c r="L55" s="2">
        <f t="shared" si="8"/>
        <v>18.5</v>
      </c>
      <c r="M55" s="2">
        <f t="shared" si="9"/>
        <v>0</v>
      </c>
      <c r="N55" s="2">
        <f t="shared" si="10"/>
        <v>0</v>
      </c>
      <c r="O55" s="2">
        <f t="shared" si="12"/>
        <v>0</v>
      </c>
      <c r="P55" s="2">
        <f t="shared" si="13"/>
        <v>0</v>
      </c>
      <c r="Q55" s="2">
        <f t="shared" si="11"/>
        <v>0</v>
      </c>
      <c r="S55" s="2">
        <f t="shared" si="2"/>
        <v>50</v>
      </c>
      <c r="T55" s="2">
        <f t="shared" si="15"/>
        <v>25.971999999999987</v>
      </c>
      <c r="U55" s="2">
        <v>15.5</v>
      </c>
      <c r="V55" s="2">
        <v>0.1</v>
      </c>
      <c r="W55" s="2">
        <v>0.11</v>
      </c>
      <c r="X55" s="2">
        <v>0.03</v>
      </c>
      <c r="AA55" s="2">
        <f>CHOOSE(NseSrc_DataType,SF_ENR,'346'!C54,'346'!C54,'346'!C54,'346'!C54,'346'!C54,U55)</f>
        <v>5</v>
      </c>
      <c r="AB55" s="2">
        <f t="shared" si="14"/>
        <v>0.1</v>
      </c>
      <c r="AC55" s="2">
        <f>CHOOSE(NseSrc_DataType,SF_NSgamma,'346'!B54,'346'!B54,'346'!B54,'346'!B54,'346'!B54,W55)</f>
        <v>0.1</v>
      </c>
      <c r="AD55" s="2">
        <f>CHOOSE(NseSrc_DataType,SF_GamCold,'346'!B54,'346'!B54,'346'!B54,'346'!B54,'346'!B54,X55)</f>
        <v>1</v>
      </c>
    </row>
    <row r="56" spans="1:30">
      <c r="A56" s="11">
        <v>42000</v>
      </c>
      <c r="B56" s="11" t="s">
        <v>305</v>
      </c>
      <c r="C56" s="11">
        <v>15.5</v>
      </c>
      <c r="D56" s="29"/>
      <c r="E56" s="11">
        <v>0.1</v>
      </c>
      <c r="F56" s="11">
        <v>0.06</v>
      </c>
      <c r="G56" s="29">
        <v>30</v>
      </c>
      <c r="H56" s="11">
        <v>0.12</v>
      </c>
      <c r="I56" s="29">
        <v>60</v>
      </c>
      <c r="J56" s="20">
        <f t="shared" si="6"/>
        <v>1E-3</v>
      </c>
      <c r="K56" s="2">
        <f t="shared" si="7"/>
        <v>42</v>
      </c>
      <c r="L56" s="2">
        <f t="shared" si="8"/>
        <v>19.5</v>
      </c>
      <c r="M56" s="2">
        <f t="shared" si="9"/>
        <v>0</v>
      </c>
      <c r="N56" s="2">
        <f t="shared" si="10"/>
        <v>0</v>
      </c>
      <c r="O56" s="2">
        <f t="shared" si="12"/>
        <v>0</v>
      </c>
      <c r="P56" s="2">
        <f t="shared" si="13"/>
        <v>0</v>
      </c>
      <c r="Q56" s="2">
        <f t="shared" si="11"/>
        <v>0</v>
      </c>
      <c r="S56" s="2">
        <f t="shared" si="2"/>
        <v>51</v>
      </c>
      <c r="T56" s="2">
        <f t="shared" si="15"/>
        <v>26.499999999999986</v>
      </c>
      <c r="U56" s="2">
        <v>15.5</v>
      </c>
      <c r="V56" s="2">
        <v>0.1</v>
      </c>
      <c r="W56" s="2">
        <v>0.1</v>
      </c>
      <c r="X56" s="2">
        <v>0.04</v>
      </c>
      <c r="AA56" s="2">
        <f>CHOOSE(NseSrc_DataType,SF_ENR,'346'!C55,'346'!C55,'346'!C55,'346'!C55,'346'!C55,U56)</f>
        <v>5</v>
      </c>
      <c r="AB56" s="2">
        <f t="shared" si="14"/>
        <v>0.1</v>
      </c>
      <c r="AC56" s="2">
        <f>CHOOSE(NseSrc_DataType,SF_NSgamma,'346'!B55,'346'!B55,'346'!B55,'346'!B55,'346'!B55,W56)</f>
        <v>0.1</v>
      </c>
      <c r="AD56" s="2">
        <f>CHOOSE(NseSrc_DataType,SF_GamCold,'346'!B55,'346'!B55,'346'!B55,'346'!B55,'346'!B55,X56)</f>
        <v>1</v>
      </c>
    </row>
    <row r="57" spans="1:30">
      <c r="A57" s="11">
        <v>43000</v>
      </c>
      <c r="B57" s="11" t="s">
        <v>305</v>
      </c>
      <c r="C57" s="11">
        <v>15.1</v>
      </c>
      <c r="D57" s="29"/>
      <c r="E57" s="11">
        <v>0.1</v>
      </c>
      <c r="F57" s="11">
        <v>7.0000000000000007E-2</v>
      </c>
      <c r="G57" s="29">
        <v>30</v>
      </c>
      <c r="H57" s="11">
        <v>0.12</v>
      </c>
      <c r="I57" s="29">
        <v>60</v>
      </c>
      <c r="J57" s="20">
        <f t="shared" si="6"/>
        <v>1E-3</v>
      </c>
      <c r="K57" s="2">
        <f t="shared" si="7"/>
        <v>43</v>
      </c>
      <c r="L57" s="2">
        <f t="shared" si="8"/>
        <v>20.5</v>
      </c>
      <c r="M57" s="2">
        <f t="shared" si="9"/>
        <v>0</v>
      </c>
      <c r="N57" s="2">
        <f t="shared" si="10"/>
        <v>0</v>
      </c>
      <c r="O57" s="2">
        <f t="shared" si="12"/>
        <v>0</v>
      </c>
      <c r="P57" s="2">
        <f t="shared" si="13"/>
        <v>0</v>
      </c>
      <c r="Q57" s="2">
        <f t="shared" si="11"/>
        <v>0</v>
      </c>
      <c r="S57" s="2">
        <f t="shared" si="2"/>
        <v>52</v>
      </c>
      <c r="T57" s="2">
        <f t="shared" si="15"/>
        <v>26.5001</v>
      </c>
      <c r="U57" s="2">
        <v>15.5</v>
      </c>
      <c r="V57" s="2">
        <v>0.1</v>
      </c>
      <c r="W57" s="2">
        <v>0.1</v>
      </c>
      <c r="X57" s="2">
        <v>0.04</v>
      </c>
      <c r="AA57" s="2">
        <f>CHOOSE(NseSrc_DataType,SF_ENR,'346'!C56,'346'!C56,'346'!C56,'346'!C56,'346'!C56,U57)</f>
        <v>5</v>
      </c>
      <c r="AB57" s="2">
        <f t="shared" si="14"/>
        <v>0.1</v>
      </c>
      <c r="AC57" s="2">
        <f>CHOOSE(NseSrc_DataType,SF_NSgamma,'346'!B56,'346'!B56,'346'!B56,'346'!B56,'346'!B56,W57)</f>
        <v>0.1</v>
      </c>
      <c r="AD57" s="2">
        <f>CHOOSE(NseSrc_DataType,SF_GamCold,'346'!B56,'346'!B56,'346'!B56,'346'!B56,'346'!B56,X57)</f>
        <v>1</v>
      </c>
    </row>
    <row r="58" spans="1:30">
      <c r="A58" s="11">
        <v>44000</v>
      </c>
      <c r="B58" s="11" t="s">
        <v>305</v>
      </c>
      <c r="C58" s="11">
        <v>14.5</v>
      </c>
      <c r="D58" s="29"/>
      <c r="E58" s="11">
        <v>0.1</v>
      </c>
      <c r="F58" s="11">
        <v>0.08</v>
      </c>
      <c r="G58" s="29">
        <v>30</v>
      </c>
      <c r="H58" s="11">
        <v>0.13</v>
      </c>
      <c r="I58" s="29">
        <v>60</v>
      </c>
      <c r="J58" s="20">
        <f t="shared" si="6"/>
        <v>1E-3</v>
      </c>
      <c r="K58" s="2">
        <f t="shared" si="7"/>
        <v>44</v>
      </c>
      <c r="L58" s="2">
        <f t="shared" si="8"/>
        <v>21.5</v>
      </c>
      <c r="M58" s="2">
        <f t="shared" si="9"/>
        <v>0</v>
      </c>
      <c r="N58" s="2">
        <f t="shared" si="10"/>
        <v>0</v>
      </c>
      <c r="O58" s="2">
        <f t="shared" si="12"/>
        <v>0</v>
      </c>
      <c r="P58" s="2">
        <f t="shared" si="13"/>
        <v>0</v>
      </c>
      <c r="Q58" s="2">
        <f t="shared" si="11"/>
        <v>0</v>
      </c>
      <c r="S58" s="2">
        <f t="shared" si="2"/>
        <v>53</v>
      </c>
      <c r="T58" s="2">
        <f t="shared" si="15"/>
        <v>26.5001</v>
      </c>
      <c r="U58" s="2">
        <v>15.5</v>
      </c>
      <c r="V58" s="2">
        <v>0.1</v>
      </c>
      <c r="W58" s="2">
        <v>0.1</v>
      </c>
      <c r="X58" s="2">
        <v>0.04</v>
      </c>
      <c r="AA58" s="2">
        <f>CHOOSE(NseSrc_DataType,SF_ENR,'346'!C57,'346'!C57,'346'!C57,'346'!C57,'346'!C57,U58)</f>
        <v>5</v>
      </c>
      <c r="AB58" s="2">
        <f t="shared" si="14"/>
        <v>0.1</v>
      </c>
      <c r="AC58" s="2">
        <f>CHOOSE(NseSrc_DataType,SF_NSgamma,'346'!B57,'346'!B57,'346'!B57,'346'!B57,'346'!B57,W58)</f>
        <v>0.1</v>
      </c>
      <c r="AD58" s="2">
        <f>CHOOSE(NseSrc_DataType,SF_GamCold,'346'!B57,'346'!B57,'346'!B57,'346'!B57,'346'!B57,X58)</f>
        <v>1</v>
      </c>
    </row>
    <row r="59" spans="1:30">
      <c r="A59" s="11">
        <v>45000</v>
      </c>
      <c r="B59" s="11" t="s">
        <v>305</v>
      </c>
      <c r="C59" s="11">
        <v>13.7</v>
      </c>
      <c r="D59" s="29"/>
      <c r="E59" s="11">
        <v>0.1</v>
      </c>
      <c r="F59" s="11">
        <v>0.09</v>
      </c>
      <c r="G59" s="29">
        <v>30</v>
      </c>
      <c r="H59" s="11">
        <v>0.13</v>
      </c>
      <c r="I59" s="29">
        <v>60</v>
      </c>
      <c r="J59" s="20">
        <f t="shared" si="6"/>
        <v>1E-3</v>
      </c>
      <c r="K59" s="2">
        <f t="shared" si="7"/>
        <v>45</v>
      </c>
      <c r="L59" s="2">
        <f t="shared" si="8"/>
        <v>22.5</v>
      </c>
      <c r="M59" s="2">
        <f t="shared" si="9"/>
        <v>0</v>
      </c>
      <c r="N59" s="2">
        <f t="shared" si="10"/>
        <v>0</v>
      </c>
      <c r="O59" s="2">
        <f t="shared" si="12"/>
        <v>0</v>
      </c>
      <c r="P59" s="2">
        <f t="shared" si="13"/>
        <v>0</v>
      </c>
      <c r="Q59" s="2">
        <f t="shared" si="11"/>
        <v>0</v>
      </c>
      <c r="S59" s="2">
        <f t="shared" si="2"/>
        <v>54</v>
      </c>
      <c r="T59" s="2">
        <f t="shared" si="15"/>
        <v>26.5001</v>
      </c>
      <c r="U59" s="2">
        <v>15.5</v>
      </c>
      <c r="V59" s="2">
        <v>0.1</v>
      </c>
      <c r="W59" s="2">
        <v>0.1</v>
      </c>
      <c r="X59" s="2">
        <v>0.04</v>
      </c>
      <c r="AA59" s="2">
        <f>CHOOSE(NseSrc_DataType,SF_ENR,'346'!C58,'346'!C58,'346'!C58,'346'!C58,'346'!C58,U59)</f>
        <v>5</v>
      </c>
      <c r="AB59" s="2">
        <f t="shared" si="14"/>
        <v>0.1</v>
      </c>
      <c r="AC59" s="2">
        <f>CHOOSE(NseSrc_DataType,SF_NSgamma,'346'!B58,'346'!B58,'346'!B58,'346'!B58,'346'!B58,W59)</f>
        <v>0.1</v>
      </c>
      <c r="AD59" s="2">
        <f>CHOOSE(NseSrc_DataType,SF_GamCold,'346'!B58,'346'!B58,'346'!B58,'346'!B58,'346'!B58,X59)</f>
        <v>1</v>
      </c>
    </row>
    <row r="60" spans="1:30">
      <c r="A60" s="11">
        <v>46000</v>
      </c>
      <c r="B60" s="11" t="s">
        <v>305</v>
      </c>
      <c r="C60" s="11">
        <v>13.5</v>
      </c>
      <c r="D60" s="29"/>
      <c r="E60" s="11">
        <v>0.1</v>
      </c>
      <c r="F60" s="11">
        <v>0.1</v>
      </c>
      <c r="G60" s="29">
        <v>30</v>
      </c>
      <c r="H60" s="11">
        <v>0.13</v>
      </c>
      <c r="I60" s="29">
        <v>60</v>
      </c>
      <c r="J60" s="20">
        <f t="shared" si="6"/>
        <v>1E-3</v>
      </c>
      <c r="K60" s="2">
        <f t="shared" si="7"/>
        <v>46</v>
      </c>
      <c r="L60" s="2">
        <f t="shared" si="8"/>
        <v>23.5</v>
      </c>
      <c r="M60" s="2">
        <f t="shared" si="9"/>
        <v>0</v>
      </c>
      <c r="N60" s="2">
        <f t="shared" si="10"/>
        <v>0</v>
      </c>
      <c r="O60" s="2">
        <f t="shared" si="12"/>
        <v>0</v>
      </c>
      <c r="P60" s="2">
        <f t="shared" si="13"/>
        <v>0</v>
      </c>
      <c r="Q60" s="2">
        <f t="shared" si="11"/>
        <v>0</v>
      </c>
      <c r="S60" s="2">
        <f t="shared" si="2"/>
        <v>55</v>
      </c>
      <c r="T60" s="2">
        <f t="shared" si="15"/>
        <v>26.5001</v>
      </c>
      <c r="U60" s="2">
        <v>15.5</v>
      </c>
      <c r="V60" s="2">
        <v>0.1</v>
      </c>
      <c r="W60" s="2">
        <v>0.1</v>
      </c>
      <c r="X60" s="2">
        <v>0.04</v>
      </c>
      <c r="AA60" s="2">
        <f>CHOOSE(NseSrc_DataType,SF_ENR,'346'!C59,'346'!C59,'346'!C59,'346'!C59,'346'!C59,U60)</f>
        <v>5</v>
      </c>
      <c r="AB60" s="2">
        <f t="shared" si="14"/>
        <v>0.1</v>
      </c>
      <c r="AC60" s="2">
        <f>CHOOSE(NseSrc_DataType,SF_NSgamma,'346'!B59,'346'!B59,'346'!B59,'346'!B59,'346'!B59,W60)</f>
        <v>0.1</v>
      </c>
      <c r="AD60" s="2">
        <f>CHOOSE(NseSrc_DataType,SF_GamCold,'346'!B59,'346'!B59,'346'!B59,'346'!B59,'346'!B59,X60)</f>
        <v>1</v>
      </c>
    </row>
    <row r="61" spans="1:30">
      <c r="A61" s="11">
        <v>47000</v>
      </c>
      <c r="B61" s="11" t="s">
        <v>305</v>
      </c>
      <c r="C61" s="11">
        <v>13.5</v>
      </c>
      <c r="D61" s="29"/>
      <c r="E61" s="11">
        <v>0.1</v>
      </c>
      <c r="F61" s="11">
        <v>0.11</v>
      </c>
      <c r="G61" s="29">
        <v>30</v>
      </c>
      <c r="H61" s="11">
        <v>0.13</v>
      </c>
      <c r="I61" s="29">
        <v>60</v>
      </c>
      <c r="J61" s="20">
        <f t="shared" si="6"/>
        <v>1E-3</v>
      </c>
      <c r="K61" s="2">
        <f t="shared" si="7"/>
        <v>47</v>
      </c>
      <c r="L61" s="2">
        <f t="shared" si="8"/>
        <v>24.5</v>
      </c>
      <c r="M61" s="2">
        <f t="shared" si="9"/>
        <v>0</v>
      </c>
      <c r="N61" s="2">
        <f t="shared" si="10"/>
        <v>0</v>
      </c>
      <c r="O61" s="2">
        <f t="shared" si="12"/>
        <v>0</v>
      </c>
      <c r="P61" s="2">
        <f t="shared" si="13"/>
        <v>0</v>
      </c>
      <c r="Q61" s="2">
        <f t="shared" si="11"/>
        <v>0</v>
      </c>
      <c r="S61" s="2">
        <f t="shared" si="2"/>
        <v>56</v>
      </c>
      <c r="T61" s="2">
        <f t="shared" si="15"/>
        <v>26.5001</v>
      </c>
      <c r="U61" s="2">
        <v>15.5</v>
      </c>
      <c r="V61" s="2">
        <v>0.1</v>
      </c>
      <c r="W61" s="2">
        <v>0.1</v>
      </c>
      <c r="X61" s="2">
        <v>0.04</v>
      </c>
      <c r="AA61" s="2">
        <f>CHOOSE(NseSrc_DataType,SF_ENR,'346'!C60,'346'!C60,'346'!C60,'346'!C60,'346'!C60,U61)</f>
        <v>5</v>
      </c>
      <c r="AB61" s="2">
        <f t="shared" si="14"/>
        <v>0.1</v>
      </c>
      <c r="AC61" s="2">
        <f>CHOOSE(NseSrc_DataType,SF_NSgamma,'346'!B60,'346'!B60,'346'!B60,'346'!B60,'346'!B60,W61)</f>
        <v>0.1</v>
      </c>
      <c r="AD61" s="2">
        <f>CHOOSE(NseSrc_DataType,SF_GamCold,'346'!B60,'346'!B60,'346'!B60,'346'!B60,'346'!B60,X61)</f>
        <v>1</v>
      </c>
    </row>
    <row r="62" spans="1:30">
      <c r="A62" s="11">
        <v>48000</v>
      </c>
      <c r="B62" s="11" t="s">
        <v>305</v>
      </c>
      <c r="C62" s="11">
        <v>12.95</v>
      </c>
      <c r="D62" s="29"/>
      <c r="E62" s="11">
        <v>0.1</v>
      </c>
      <c r="F62" s="11">
        <v>0.12</v>
      </c>
      <c r="G62" s="29">
        <v>30</v>
      </c>
      <c r="H62" s="11">
        <v>0.14000000000000001</v>
      </c>
      <c r="I62" s="29">
        <v>60</v>
      </c>
      <c r="J62" s="20">
        <f t="shared" si="6"/>
        <v>1E-3</v>
      </c>
      <c r="K62" s="2">
        <f t="shared" si="7"/>
        <v>48</v>
      </c>
      <c r="L62" s="2">
        <f t="shared" si="8"/>
        <v>25.5</v>
      </c>
      <c r="M62" s="2">
        <f t="shared" si="9"/>
        <v>0</v>
      </c>
      <c r="N62" s="2">
        <f t="shared" si="10"/>
        <v>0</v>
      </c>
      <c r="O62" s="2">
        <f t="shared" si="12"/>
        <v>0</v>
      </c>
      <c r="P62" s="2">
        <f t="shared" si="13"/>
        <v>0</v>
      </c>
      <c r="Q62" s="2">
        <f t="shared" si="11"/>
        <v>0</v>
      </c>
      <c r="S62" s="2">
        <f t="shared" si="2"/>
        <v>57</v>
      </c>
      <c r="T62" s="2">
        <f t="shared" si="15"/>
        <v>26.5001</v>
      </c>
      <c r="U62" s="2">
        <v>15.5</v>
      </c>
      <c r="V62" s="2">
        <v>0.1</v>
      </c>
      <c r="W62" s="2">
        <v>0.1</v>
      </c>
      <c r="X62" s="2">
        <v>0.04</v>
      </c>
      <c r="AA62" s="2">
        <f>CHOOSE(NseSrc_DataType,SF_ENR,'346'!C61,'346'!C61,'346'!C61,'346'!C61,'346'!C61,U62)</f>
        <v>5</v>
      </c>
      <c r="AB62" s="2">
        <f t="shared" si="14"/>
        <v>0.1</v>
      </c>
      <c r="AC62" s="2">
        <f>CHOOSE(NseSrc_DataType,SF_NSgamma,'346'!B61,'346'!B61,'346'!B61,'346'!B61,'346'!B61,W62)</f>
        <v>0.1</v>
      </c>
      <c r="AD62" s="2">
        <f>CHOOSE(NseSrc_DataType,SF_GamCold,'346'!B61,'346'!B61,'346'!B61,'346'!B61,'346'!B61,X62)</f>
        <v>1</v>
      </c>
    </row>
    <row r="63" spans="1:30">
      <c r="A63" s="11">
        <v>49000</v>
      </c>
      <c r="B63" s="11" t="s">
        <v>305</v>
      </c>
      <c r="C63" s="11">
        <v>12.22</v>
      </c>
      <c r="D63" s="29"/>
      <c r="E63" s="11">
        <v>0.1</v>
      </c>
      <c r="F63" s="11">
        <v>0.13</v>
      </c>
      <c r="G63" s="29">
        <v>30</v>
      </c>
      <c r="H63" s="11">
        <v>0.14000000000000001</v>
      </c>
      <c r="I63" s="29">
        <v>60</v>
      </c>
      <c r="J63" s="20">
        <f t="shared" si="6"/>
        <v>1E-3</v>
      </c>
      <c r="K63" s="2">
        <f t="shared" si="7"/>
        <v>49</v>
      </c>
      <c r="L63" s="2">
        <f t="shared" si="8"/>
        <v>26.5</v>
      </c>
      <c r="M63" s="2">
        <f t="shared" si="9"/>
        <v>0</v>
      </c>
      <c r="N63" s="2">
        <f t="shared" si="10"/>
        <v>0</v>
      </c>
      <c r="O63" s="2">
        <f t="shared" si="12"/>
        <v>0</v>
      </c>
      <c r="P63" s="2">
        <f t="shared" si="13"/>
        <v>0</v>
      </c>
      <c r="Q63" s="2">
        <f t="shared" si="11"/>
        <v>0</v>
      </c>
      <c r="S63" s="2">
        <f t="shared" si="2"/>
        <v>58</v>
      </c>
      <c r="T63" s="2">
        <f t="shared" si="15"/>
        <v>26.5001</v>
      </c>
      <c r="U63" s="2">
        <v>15.5</v>
      </c>
      <c r="V63" s="2">
        <v>0.1</v>
      </c>
      <c r="W63" s="2">
        <v>0.1</v>
      </c>
      <c r="X63" s="2">
        <v>0.04</v>
      </c>
      <c r="AA63" s="2">
        <f>CHOOSE(NseSrc_DataType,SF_ENR,'346'!C62,'346'!C62,'346'!C62,'346'!C62,'346'!C62,U63)</f>
        <v>5</v>
      </c>
      <c r="AB63" s="2">
        <f t="shared" si="14"/>
        <v>0.1</v>
      </c>
      <c r="AC63" s="2">
        <f>CHOOSE(NseSrc_DataType,SF_NSgamma,'346'!B62,'346'!B62,'346'!B62,'346'!B62,'346'!B62,W63)</f>
        <v>0.1</v>
      </c>
      <c r="AD63" s="2">
        <f>CHOOSE(NseSrc_DataType,SF_GamCold,'346'!B62,'346'!B62,'346'!B62,'346'!B62,'346'!B62,X63)</f>
        <v>1</v>
      </c>
    </row>
    <row r="64" spans="1:30">
      <c r="A64" s="11">
        <v>50000</v>
      </c>
      <c r="B64" s="11" t="s">
        <v>305</v>
      </c>
      <c r="C64" s="11">
        <v>11.77</v>
      </c>
      <c r="D64" s="29"/>
      <c r="E64" s="11">
        <v>0.1</v>
      </c>
      <c r="F64" s="11">
        <v>0.14000000000000001</v>
      </c>
      <c r="G64" s="29">
        <v>30</v>
      </c>
      <c r="H64" s="11">
        <v>0.14000000000000001</v>
      </c>
      <c r="I64" s="29">
        <v>60</v>
      </c>
      <c r="J64" s="20">
        <f t="shared" si="6"/>
        <v>1E-3</v>
      </c>
      <c r="K64" s="2">
        <f t="shared" si="7"/>
        <v>50</v>
      </c>
      <c r="L64" s="2">
        <f t="shared" si="8"/>
        <v>27.5</v>
      </c>
      <c r="M64" s="2">
        <f t="shared" si="9"/>
        <v>0</v>
      </c>
      <c r="N64" s="2">
        <f t="shared" si="10"/>
        <v>0</v>
      </c>
      <c r="O64" s="2">
        <f t="shared" si="12"/>
        <v>0</v>
      </c>
      <c r="P64" s="2">
        <f t="shared" si="13"/>
        <v>0</v>
      </c>
      <c r="Q64" s="2">
        <f t="shared" si="11"/>
        <v>0</v>
      </c>
      <c r="S64" s="2">
        <f t="shared" si="2"/>
        <v>59</v>
      </c>
      <c r="T64" s="2">
        <f t="shared" si="15"/>
        <v>26.5001</v>
      </c>
      <c r="U64" s="2">
        <v>15.5</v>
      </c>
      <c r="V64" s="2">
        <v>0.1</v>
      </c>
      <c r="W64" s="2">
        <v>0.1</v>
      </c>
      <c r="X64" s="2">
        <v>0.04</v>
      </c>
      <c r="AA64" s="2">
        <f>CHOOSE(NseSrc_DataType,SF_ENR,'346'!C63,'346'!C63,'346'!C63,'346'!C63,'346'!C63,U64)</f>
        <v>5</v>
      </c>
      <c r="AB64" s="2">
        <f t="shared" si="14"/>
        <v>0.1</v>
      </c>
      <c r="AC64" s="2">
        <f>CHOOSE(NseSrc_DataType,SF_NSgamma,'346'!B63,'346'!B63,'346'!B63,'346'!B63,'346'!B63,W64)</f>
        <v>0.1</v>
      </c>
      <c r="AD64" s="2">
        <f>CHOOSE(NseSrc_DataType,SF_GamCold,'346'!B63,'346'!B63,'346'!B63,'346'!B63,'346'!B63,X64)</f>
        <v>1</v>
      </c>
    </row>
    <row r="65" spans="1:30">
      <c r="A65" s="11">
        <v>0</v>
      </c>
      <c r="B65" s="11" t="s">
        <v>0</v>
      </c>
      <c r="C65" s="11">
        <v>0</v>
      </c>
      <c r="D65" s="29"/>
      <c r="E65" s="11">
        <v>0</v>
      </c>
      <c r="F65" s="11">
        <v>0</v>
      </c>
      <c r="G65" s="29">
        <v>0</v>
      </c>
      <c r="H65" s="11">
        <v>0</v>
      </c>
      <c r="I65" s="29">
        <v>0</v>
      </c>
      <c r="J65" s="20">
        <f t="shared" si="6"/>
        <v>1.0000000000000001E-9</v>
      </c>
      <c r="K65" s="2">
        <f t="shared" si="7"/>
        <v>1000</v>
      </c>
      <c r="L65" s="2">
        <f t="shared" si="8"/>
        <v>977.5</v>
      </c>
      <c r="M65" s="2">
        <f t="shared" si="9"/>
        <v>0</v>
      </c>
      <c r="N65" s="2">
        <f t="shared" si="10"/>
        <v>0</v>
      </c>
      <c r="O65" s="2">
        <f t="shared" si="12"/>
        <v>0</v>
      </c>
      <c r="P65" s="2">
        <f t="shared" si="13"/>
        <v>0</v>
      </c>
      <c r="Q65" s="2">
        <f t="shared" si="11"/>
        <v>0</v>
      </c>
      <c r="S65" s="2">
        <f t="shared" si="2"/>
        <v>60</v>
      </c>
      <c r="T65" s="2">
        <f t="shared" si="15"/>
        <v>26.5001</v>
      </c>
      <c r="U65" s="2">
        <v>15.5</v>
      </c>
      <c r="V65" s="2">
        <v>0.1</v>
      </c>
      <c r="W65" s="2">
        <v>0.1</v>
      </c>
      <c r="X65" s="2">
        <v>0.04</v>
      </c>
      <c r="AA65" s="2">
        <f>CHOOSE(NseSrc_DataType,SF_ENR,'346'!C64,'346'!C64,'346'!C64,'346'!C64,'346'!C64,U65)</f>
        <v>5</v>
      </c>
      <c r="AB65" s="2">
        <f t="shared" si="14"/>
        <v>0.1</v>
      </c>
      <c r="AC65" s="2">
        <f>CHOOSE(NseSrc_DataType,SF_NSgamma,'346'!B64,'346'!B64,'346'!B64,'346'!B64,'346'!B64,W65)</f>
        <v>0.1</v>
      </c>
      <c r="AD65" s="2">
        <f>CHOOSE(NseSrc_DataType,SF_GamCold,'346'!B64,'346'!B64,'346'!B64,'346'!B64,'346'!B64,X65)</f>
        <v>1</v>
      </c>
    </row>
    <row r="66" spans="1:30">
      <c r="A66" s="11">
        <v>0</v>
      </c>
      <c r="B66" s="11" t="s">
        <v>0</v>
      </c>
      <c r="C66" s="11">
        <v>0</v>
      </c>
      <c r="D66" s="29"/>
      <c r="E66" s="11">
        <v>0</v>
      </c>
      <c r="F66" s="11">
        <v>0</v>
      </c>
      <c r="G66" s="29">
        <v>0</v>
      </c>
      <c r="H66" s="11">
        <v>0</v>
      </c>
      <c r="I66" s="29">
        <v>0</v>
      </c>
      <c r="J66" s="20">
        <f t="shared" si="6"/>
        <v>1.0000000000000001E-9</v>
      </c>
      <c r="K66" s="2">
        <f t="shared" si="7"/>
        <v>1000</v>
      </c>
      <c r="L66" s="2">
        <f t="shared" si="8"/>
        <v>977.5</v>
      </c>
      <c r="M66" s="2">
        <f t="shared" si="9"/>
        <v>0</v>
      </c>
      <c r="S66" s="2">
        <f t="shared" si="2"/>
        <v>61</v>
      </c>
      <c r="T66" s="2">
        <f t="shared" si="15"/>
        <v>26.5001</v>
      </c>
      <c r="U66" s="2">
        <v>15.5</v>
      </c>
      <c r="V66" s="2">
        <v>0.1</v>
      </c>
      <c r="W66" s="2">
        <v>0.1</v>
      </c>
      <c r="X66" s="2">
        <v>0.04</v>
      </c>
      <c r="AA66" s="2">
        <f>CHOOSE(NseSrc_DataType,SF_ENR,'346'!C65,'346'!C65,'346'!C65,'346'!C65,'346'!C65,U66)</f>
        <v>5</v>
      </c>
      <c r="AB66" s="2">
        <f t="shared" si="14"/>
        <v>0.1</v>
      </c>
      <c r="AC66" s="2">
        <f>CHOOSE(NseSrc_DataType,SF_NSgamma,'346'!B65,'346'!B65,'346'!B65,'346'!B65,'346'!B65,W66)</f>
        <v>0.1</v>
      </c>
      <c r="AD66" s="2">
        <f>CHOOSE(NseSrc_DataType,SF_GamCold,'346'!B65,'346'!B65,'346'!B65,'346'!B65,'346'!B65,X66)</f>
        <v>1</v>
      </c>
    </row>
    <row r="67" spans="1:30">
      <c r="A67" s="11">
        <v>0</v>
      </c>
      <c r="B67" s="11" t="s">
        <v>0</v>
      </c>
      <c r="C67" s="11">
        <v>0</v>
      </c>
      <c r="D67" s="29"/>
      <c r="E67" s="11">
        <v>0</v>
      </c>
      <c r="F67" s="11">
        <v>0</v>
      </c>
      <c r="G67" s="29">
        <v>0</v>
      </c>
      <c r="H67" s="11">
        <v>0</v>
      </c>
      <c r="I67" s="29">
        <v>0</v>
      </c>
      <c r="J67" s="20">
        <f t="shared" si="6"/>
        <v>1.0000000000000001E-9</v>
      </c>
      <c r="K67" s="2">
        <f t="shared" si="7"/>
        <v>1000</v>
      </c>
      <c r="L67" s="2">
        <f t="shared" si="8"/>
        <v>977.5</v>
      </c>
      <c r="M67" s="2">
        <f t="shared" si="9"/>
        <v>0</v>
      </c>
      <c r="S67" s="2">
        <f t="shared" si="2"/>
        <v>62</v>
      </c>
      <c r="T67" s="2">
        <f t="shared" si="15"/>
        <v>26.5001</v>
      </c>
      <c r="U67" s="2">
        <v>15.5</v>
      </c>
      <c r="V67" s="2">
        <v>0.1</v>
      </c>
      <c r="W67" s="2">
        <v>0.1</v>
      </c>
      <c r="X67" s="2">
        <v>0.04</v>
      </c>
      <c r="AA67" s="2">
        <f>CHOOSE(NseSrc_DataType,SF_ENR,'346'!C66,'346'!C66,'346'!C66,'346'!C66,'346'!C66,U67)</f>
        <v>5</v>
      </c>
      <c r="AB67" s="2">
        <f t="shared" si="14"/>
        <v>0.1</v>
      </c>
      <c r="AC67" s="2">
        <f>CHOOSE(NseSrc_DataType,SF_NSgamma,'346'!B66,'346'!B66,'346'!B66,'346'!B66,'346'!B66,W67)</f>
        <v>0.1</v>
      </c>
      <c r="AD67" s="2">
        <f>CHOOSE(NseSrc_DataType,SF_GamCold,'346'!B66,'346'!B66,'346'!B66,'346'!B66,'346'!B66,X67)</f>
        <v>1</v>
      </c>
    </row>
    <row r="68" spans="1:30">
      <c r="A68" s="11">
        <v>0</v>
      </c>
      <c r="B68" s="11" t="s">
        <v>0</v>
      </c>
      <c r="C68" s="11">
        <v>0</v>
      </c>
      <c r="D68" s="29"/>
      <c r="E68" s="11">
        <v>0</v>
      </c>
      <c r="F68" s="11">
        <v>0</v>
      </c>
      <c r="G68" s="29">
        <v>0</v>
      </c>
      <c r="H68" s="11">
        <v>0</v>
      </c>
      <c r="I68" s="29">
        <v>0</v>
      </c>
      <c r="J68" s="20">
        <f t="shared" si="6"/>
        <v>1.0000000000000001E-9</v>
      </c>
      <c r="K68" s="2">
        <f t="shared" si="7"/>
        <v>1000</v>
      </c>
      <c r="L68" s="2">
        <f t="shared" si="8"/>
        <v>977.5</v>
      </c>
      <c r="M68" s="2">
        <f t="shared" si="9"/>
        <v>0</v>
      </c>
      <c r="S68" s="2">
        <f t="shared" si="2"/>
        <v>63</v>
      </c>
      <c r="T68" s="2">
        <f t="shared" si="15"/>
        <v>26.5001</v>
      </c>
      <c r="U68" s="2">
        <v>15.5</v>
      </c>
      <c r="V68" s="2">
        <v>0.1</v>
      </c>
      <c r="W68" s="2">
        <v>0.1</v>
      </c>
      <c r="X68" s="2">
        <v>0.04</v>
      </c>
      <c r="AA68" s="2">
        <f>CHOOSE(NseSrc_DataType,SF_ENR,'346'!C67,'346'!C67,'346'!C67,'346'!C67,'346'!C67,U68)</f>
        <v>5</v>
      </c>
      <c r="AB68" s="2">
        <f t="shared" si="14"/>
        <v>0.1</v>
      </c>
      <c r="AC68" s="2">
        <f>CHOOSE(NseSrc_DataType,SF_NSgamma,'346'!B67,'346'!B67,'346'!B67,'346'!B67,'346'!B67,W68)</f>
        <v>0.1</v>
      </c>
      <c r="AD68" s="2">
        <f>CHOOSE(NseSrc_DataType,SF_GamCold,'346'!B67,'346'!B67,'346'!B67,'346'!B67,'346'!B67,X68)</f>
        <v>1</v>
      </c>
    </row>
    <row r="69" spans="1:30">
      <c r="A69" s="11">
        <v>0</v>
      </c>
      <c r="B69" s="11" t="s">
        <v>0</v>
      </c>
      <c r="C69" s="11">
        <v>0</v>
      </c>
      <c r="D69" s="29"/>
      <c r="E69" s="11">
        <v>0</v>
      </c>
      <c r="F69" s="11">
        <v>0</v>
      </c>
      <c r="G69" s="29">
        <v>0</v>
      </c>
      <c r="H69" s="11">
        <v>0</v>
      </c>
      <c r="I69" s="29">
        <v>0</v>
      </c>
      <c r="J69" s="20">
        <f t="shared" si="6"/>
        <v>1.0000000000000001E-9</v>
      </c>
      <c r="K69" s="2">
        <f t="shared" si="7"/>
        <v>1000</v>
      </c>
      <c r="L69" s="2">
        <f t="shared" si="8"/>
        <v>977.5</v>
      </c>
      <c r="M69" s="2">
        <f t="shared" si="9"/>
        <v>0</v>
      </c>
      <c r="S69" s="2">
        <f t="shared" si="2"/>
        <v>64</v>
      </c>
      <c r="T69" s="2">
        <f t="shared" si="15"/>
        <v>26.5001</v>
      </c>
      <c r="U69" s="2">
        <v>15.5</v>
      </c>
      <c r="V69" s="2">
        <v>0.1</v>
      </c>
      <c r="W69" s="2">
        <v>0.1</v>
      </c>
      <c r="X69" s="2">
        <v>0.04</v>
      </c>
      <c r="AA69" s="2">
        <f>CHOOSE(NseSrc_DataType,SF_ENR,'346'!C68,'346'!C68,'346'!C68,'346'!C68,'346'!C68,U69)</f>
        <v>5</v>
      </c>
      <c r="AB69" s="2">
        <f t="shared" si="14"/>
        <v>0.1</v>
      </c>
      <c r="AC69" s="2">
        <f>CHOOSE(NseSrc_DataType,SF_NSgamma,'346'!B68,'346'!B68,'346'!B68,'346'!B68,'346'!B68,W69)</f>
        <v>0.1</v>
      </c>
      <c r="AD69" s="2">
        <f>CHOOSE(NseSrc_DataType,SF_GamCold,'346'!B68,'346'!B68,'346'!B68,'346'!B68,'346'!B68,X69)</f>
        <v>1</v>
      </c>
    </row>
    <row r="70" spans="1:30">
      <c r="A70" s="11">
        <v>0</v>
      </c>
      <c r="B70" s="11" t="s">
        <v>0</v>
      </c>
      <c r="C70" s="11">
        <v>0</v>
      </c>
      <c r="D70" s="29"/>
      <c r="E70" s="11">
        <v>0</v>
      </c>
      <c r="F70" s="11">
        <v>0</v>
      </c>
      <c r="G70" s="29">
        <v>0</v>
      </c>
      <c r="H70" s="11">
        <v>0</v>
      </c>
      <c r="I70" s="29">
        <v>0</v>
      </c>
      <c r="J70" s="20">
        <f t="shared" si="6"/>
        <v>1.0000000000000001E-9</v>
      </c>
      <c r="K70" s="2">
        <f t="shared" si="7"/>
        <v>1000</v>
      </c>
      <c r="L70" s="2">
        <f t="shared" si="8"/>
        <v>977.5</v>
      </c>
      <c r="M70" s="2">
        <f t="shared" si="9"/>
        <v>0</v>
      </c>
      <c r="S70" s="2">
        <f t="shared" si="2"/>
        <v>65</v>
      </c>
      <c r="T70" s="2">
        <f t="shared" si="15"/>
        <v>26.5001</v>
      </c>
      <c r="U70" s="2">
        <v>15.5</v>
      </c>
      <c r="V70" s="2">
        <v>0.1</v>
      </c>
      <c r="W70" s="2">
        <v>0.1</v>
      </c>
      <c r="X70" s="2">
        <v>0.04</v>
      </c>
      <c r="AA70" s="2">
        <f>CHOOSE(NseSrc_DataType,SF_ENR,'346'!C69,'346'!C69,'346'!C69,'346'!C69,'346'!C69,U70)</f>
        <v>5</v>
      </c>
      <c r="AB70" s="2">
        <f t="shared" ref="AB70:AB101" si="16">CHOOSE(ENRU_DataType,SF_ENRU,V70)</f>
        <v>0.1</v>
      </c>
      <c r="AC70" s="2">
        <f>CHOOSE(NseSrc_DataType,SF_NSgamma,'346'!B69,'346'!B69,'346'!B69,'346'!B69,'346'!B69,W70)</f>
        <v>0.1</v>
      </c>
      <c r="AD70" s="2">
        <f>CHOOSE(NseSrc_DataType,SF_GamCold,'346'!B69,'346'!B69,'346'!B69,'346'!B69,'346'!B69,X70)</f>
        <v>1</v>
      </c>
    </row>
    <row r="71" spans="1:30">
      <c r="A71" s="11">
        <v>0</v>
      </c>
      <c r="B71" s="11" t="s">
        <v>0</v>
      </c>
      <c r="C71" s="11">
        <v>0</v>
      </c>
      <c r="D71" s="29"/>
      <c r="E71" s="11">
        <v>0</v>
      </c>
      <c r="F71" s="11">
        <v>0</v>
      </c>
      <c r="G71" s="29">
        <v>0</v>
      </c>
      <c r="H71" s="11">
        <v>0</v>
      </c>
      <c r="I71" s="29">
        <v>0</v>
      </c>
      <c r="J71" s="20">
        <f t="shared" si="6"/>
        <v>1.0000000000000001E-9</v>
      </c>
      <c r="K71" s="2">
        <f t="shared" si="7"/>
        <v>1000</v>
      </c>
      <c r="L71" s="2">
        <f t="shared" si="8"/>
        <v>977.5</v>
      </c>
      <c r="M71" s="2">
        <f t="shared" si="9"/>
        <v>0</v>
      </c>
      <c r="S71" s="2">
        <f t="shared" si="2"/>
        <v>66</v>
      </c>
      <c r="T71" s="2">
        <f t="shared" ref="T71:T107" si="17">IF($S$4&gt;=0,IF(T70&gt;=$S$5,$S$5+0.0001,T70+$S$4),IF(T70&lt;=$S$5,$S$5-0.0001,T70+$S$4))</f>
        <v>26.5001</v>
      </c>
      <c r="U71" s="2">
        <v>15.5</v>
      </c>
      <c r="V71" s="2">
        <v>0.1</v>
      </c>
      <c r="W71" s="2">
        <v>0.1</v>
      </c>
      <c r="X71" s="2">
        <v>0.04</v>
      </c>
      <c r="AA71" s="2">
        <f>CHOOSE(NseSrc_DataType,SF_ENR,'346'!C70,'346'!C70,'346'!C70,'346'!C70,'346'!C70,U71)</f>
        <v>5</v>
      </c>
      <c r="AB71" s="2">
        <f t="shared" si="16"/>
        <v>0.1</v>
      </c>
      <c r="AC71" s="2">
        <f>CHOOSE(NseSrc_DataType,SF_NSgamma,'346'!B70,'346'!B70,'346'!B70,'346'!B70,'346'!B70,W71)</f>
        <v>0.1</v>
      </c>
      <c r="AD71" s="2">
        <f>CHOOSE(NseSrc_DataType,SF_GamCold,'346'!B70,'346'!B70,'346'!B70,'346'!B70,'346'!B70,X71)</f>
        <v>1</v>
      </c>
    </row>
    <row r="72" spans="1:30">
      <c r="A72" s="11">
        <v>0</v>
      </c>
      <c r="B72" s="11" t="s">
        <v>0</v>
      </c>
      <c r="C72" s="11">
        <v>0</v>
      </c>
      <c r="D72" s="29"/>
      <c r="E72" s="11">
        <v>0</v>
      </c>
      <c r="F72" s="11">
        <v>0</v>
      </c>
      <c r="G72" s="29">
        <v>0</v>
      </c>
      <c r="H72" s="11">
        <v>0</v>
      </c>
      <c r="I72" s="29">
        <v>0</v>
      </c>
      <c r="J72" s="20">
        <f t="shared" si="6"/>
        <v>1.0000000000000001E-9</v>
      </c>
      <c r="K72" s="2">
        <f t="shared" si="7"/>
        <v>1000</v>
      </c>
      <c r="L72" s="2">
        <f t="shared" si="8"/>
        <v>977.5</v>
      </c>
      <c r="M72" s="2">
        <f t="shared" si="9"/>
        <v>0</v>
      </c>
      <c r="S72" s="2">
        <f t="shared" ref="S72:S107" si="18">1+S71</f>
        <v>67</v>
      </c>
      <c r="T72" s="2">
        <f t="shared" si="17"/>
        <v>26.5001</v>
      </c>
      <c r="U72" s="2">
        <v>15.5</v>
      </c>
      <c r="V72" s="2">
        <v>0.1</v>
      </c>
      <c r="W72" s="2">
        <v>0.1</v>
      </c>
      <c r="X72" s="2">
        <v>0.04</v>
      </c>
      <c r="AA72" s="2">
        <f>CHOOSE(NseSrc_DataType,SF_ENR,'346'!C71,'346'!C71,'346'!C71,'346'!C71,'346'!C71,U72)</f>
        <v>5</v>
      </c>
      <c r="AB72" s="2">
        <f t="shared" si="16"/>
        <v>0.1</v>
      </c>
      <c r="AC72" s="2">
        <f>CHOOSE(NseSrc_DataType,SF_NSgamma,'346'!B71,'346'!B71,'346'!B71,'346'!B71,'346'!B71,W72)</f>
        <v>0.1</v>
      </c>
      <c r="AD72" s="2">
        <f>CHOOSE(NseSrc_DataType,SF_GamCold,'346'!B71,'346'!B71,'346'!B71,'346'!B71,'346'!B71,X72)</f>
        <v>1</v>
      </c>
    </row>
    <row r="73" spans="1:30">
      <c r="A73" s="11">
        <v>0</v>
      </c>
      <c r="B73" s="11" t="s">
        <v>0</v>
      </c>
      <c r="C73" s="11">
        <v>0</v>
      </c>
      <c r="D73" s="29"/>
      <c r="E73" s="11">
        <v>0</v>
      </c>
      <c r="F73" s="11">
        <v>0</v>
      </c>
      <c r="G73" s="29">
        <v>0</v>
      </c>
      <c r="H73" s="11">
        <v>0</v>
      </c>
      <c r="I73" s="29">
        <v>0</v>
      </c>
      <c r="J73" s="20">
        <f t="shared" si="6"/>
        <v>1.0000000000000001E-9</v>
      </c>
      <c r="K73" s="2">
        <f t="shared" si="7"/>
        <v>1000</v>
      </c>
      <c r="L73" s="2">
        <f t="shared" si="8"/>
        <v>977.5</v>
      </c>
      <c r="M73" s="2">
        <f t="shared" si="9"/>
        <v>0</v>
      </c>
      <c r="S73" s="2">
        <f t="shared" si="18"/>
        <v>68</v>
      </c>
      <c r="T73" s="2">
        <f t="shared" si="17"/>
        <v>26.5001</v>
      </c>
      <c r="U73" s="2">
        <v>15.5</v>
      </c>
      <c r="V73" s="2">
        <v>0.1</v>
      </c>
      <c r="W73" s="2">
        <v>0.1</v>
      </c>
      <c r="X73" s="2">
        <v>0.04</v>
      </c>
      <c r="AA73" s="2">
        <f>CHOOSE(NseSrc_DataType,SF_ENR,'346'!C72,'346'!C72,'346'!C72,'346'!C72,'346'!C72,U73)</f>
        <v>5</v>
      </c>
      <c r="AB73" s="2">
        <f t="shared" si="16"/>
        <v>0.1</v>
      </c>
      <c r="AC73" s="2">
        <f>CHOOSE(NseSrc_DataType,SF_NSgamma,'346'!B72,'346'!B72,'346'!B72,'346'!B72,'346'!B72,W73)</f>
        <v>0.1</v>
      </c>
      <c r="AD73" s="2">
        <f>CHOOSE(NseSrc_DataType,SF_GamCold,'346'!B72,'346'!B72,'346'!B72,'346'!B72,'346'!B72,X73)</f>
        <v>1</v>
      </c>
    </row>
    <row r="74" spans="1:30">
      <c r="A74" s="11">
        <v>0</v>
      </c>
      <c r="B74" s="11" t="s">
        <v>0</v>
      </c>
      <c r="C74" s="11">
        <v>0</v>
      </c>
      <c r="D74" s="29"/>
      <c r="E74" s="11">
        <v>0</v>
      </c>
      <c r="F74" s="11">
        <v>0</v>
      </c>
      <c r="G74" s="29">
        <v>0</v>
      </c>
      <c r="H74" s="11">
        <v>0</v>
      </c>
      <c r="I74" s="29">
        <v>0</v>
      </c>
      <c r="J74" s="20">
        <f t="shared" si="6"/>
        <v>1.0000000000000001E-9</v>
      </c>
      <c r="K74" s="2">
        <f t="shared" si="7"/>
        <v>1000</v>
      </c>
      <c r="L74" s="2">
        <f t="shared" si="8"/>
        <v>977.5</v>
      </c>
      <c r="M74" s="2">
        <f t="shared" si="9"/>
        <v>0</v>
      </c>
      <c r="S74" s="2">
        <f t="shared" si="18"/>
        <v>69</v>
      </c>
      <c r="T74" s="2">
        <f t="shared" si="17"/>
        <v>26.5001</v>
      </c>
      <c r="U74" s="2">
        <v>15.5</v>
      </c>
      <c r="V74" s="2">
        <v>0.1</v>
      </c>
      <c r="W74" s="2">
        <v>0.1</v>
      </c>
      <c r="X74" s="2">
        <v>0.04</v>
      </c>
      <c r="AA74" s="2">
        <f>CHOOSE(NseSrc_DataType,SF_ENR,'346'!C73,'346'!C73,'346'!C73,'346'!C73,'346'!C73,U74)</f>
        <v>5</v>
      </c>
      <c r="AB74" s="2">
        <f t="shared" si="16"/>
        <v>0.1</v>
      </c>
      <c r="AC74" s="2">
        <f>CHOOSE(NseSrc_DataType,SF_NSgamma,'346'!B73,'346'!B73,'346'!B73,'346'!B73,'346'!B73,W74)</f>
        <v>0.1</v>
      </c>
      <c r="AD74" s="2">
        <f>CHOOSE(NseSrc_DataType,SF_GamCold,'346'!B73,'346'!B73,'346'!B73,'346'!B73,'346'!B73,X74)</f>
        <v>1</v>
      </c>
    </row>
    <row r="75" spans="1:30">
      <c r="A75" s="11">
        <v>0</v>
      </c>
      <c r="B75" s="11" t="s">
        <v>0</v>
      </c>
      <c r="C75" s="11">
        <v>0</v>
      </c>
      <c r="D75" s="29"/>
      <c r="E75" s="11">
        <v>0</v>
      </c>
      <c r="F75" s="11">
        <v>0</v>
      </c>
      <c r="G75" s="29">
        <v>0</v>
      </c>
      <c r="H75" s="11">
        <v>0</v>
      </c>
      <c r="I75" s="29">
        <v>0</v>
      </c>
      <c r="J75" s="20">
        <f t="shared" si="6"/>
        <v>1.0000000000000001E-9</v>
      </c>
      <c r="K75" s="2">
        <f t="shared" si="7"/>
        <v>1000</v>
      </c>
      <c r="L75" s="2">
        <f t="shared" si="8"/>
        <v>977.5</v>
      </c>
      <c r="M75" s="2">
        <f t="shared" si="9"/>
        <v>0</v>
      </c>
      <c r="S75" s="2">
        <f t="shared" si="18"/>
        <v>70</v>
      </c>
      <c r="T75" s="2">
        <f t="shared" si="17"/>
        <v>26.5001</v>
      </c>
      <c r="U75" s="2">
        <v>15.5</v>
      </c>
      <c r="V75" s="2">
        <v>0.1</v>
      </c>
      <c r="W75" s="2">
        <v>0.1</v>
      </c>
      <c r="X75" s="2">
        <v>0.04</v>
      </c>
      <c r="AA75" s="2">
        <f>CHOOSE(NseSrc_DataType,SF_ENR,'346'!C74,'346'!C74,'346'!C74,'346'!C74,'346'!C74,U75)</f>
        <v>5</v>
      </c>
      <c r="AB75" s="2">
        <f t="shared" si="16"/>
        <v>0.1</v>
      </c>
      <c r="AC75" s="2">
        <f>CHOOSE(NseSrc_DataType,SF_NSgamma,'346'!B74,'346'!B74,'346'!B74,'346'!B74,'346'!B74,W75)</f>
        <v>0.1</v>
      </c>
      <c r="AD75" s="2">
        <f>CHOOSE(NseSrc_DataType,SF_GamCold,'346'!B74,'346'!B74,'346'!B74,'346'!B74,'346'!B74,X75)</f>
        <v>1</v>
      </c>
    </row>
    <row r="76" spans="1:30">
      <c r="A76" s="11">
        <v>0</v>
      </c>
      <c r="B76" s="11" t="s">
        <v>0</v>
      </c>
      <c r="C76" s="11">
        <v>0</v>
      </c>
      <c r="D76" s="29"/>
      <c r="E76" s="11">
        <v>0</v>
      </c>
      <c r="F76" s="11">
        <v>0</v>
      </c>
      <c r="G76" s="29">
        <v>0</v>
      </c>
      <c r="H76" s="11">
        <v>0</v>
      </c>
      <c r="I76" s="29">
        <v>0</v>
      </c>
      <c r="J76" s="20">
        <f t="shared" si="6"/>
        <v>1.0000000000000001E-9</v>
      </c>
      <c r="K76" s="2">
        <f t="shared" si="7"/>
        <v>1000</v>
      </c>
      <c r="L76" s="2">
        <f t="shared" si="8"/>
        <v>977.5</v>
      </c>
      <c r="M76" s="2">
        <f t="shared" si="9"/>
        <v>0</v>
      </c>
      <c r="S76" s="2">
        <f t="shared" si="18"/>
        <v>71</v>
      </c>
      <c r="T76" s="2">
        <f t="shared" si="17"/>
        <v>26.5001</v>
      </c>
      <c r="U76" s="2">
        <v>15.5</v>
      </c>
      <c r="V76" s="2">
        <v>0.1</v>
      </c>
      <c r="W76" s="2">
        <v>0.1</v>
      </c>
      <c r="X76" s="2">
        <v>0.04</v>
      </c>
      <c r="AA76" s="2">
        <f>CHOOSE(NseSrc_DataType,SF_ENR,'346'!C75,'346'!C75,'346'!C75,'346'!C75,'346'!C75,U76)</f>
        <v>5</v>
      </c>
      <c r="AB76" s="2">
        <f t="shared" si="16"/>
        <v>0.1</v>
      </c>
      <c r="AC76" s="2">
        <f>CHOOSE(NseSrc_DataType,SF_NSgamma,'346'!B75,'346'!B75,'346'!B75,'346'!B75,'346'!B75,W76)</f>
        <v>0.1</v>
      </c>
      <c r="AD76" s="2">
        <f>CHOOSE(NseSrc_DataType,SF_GamCold,'346'!B75,'346'!B75,'346'!B75,'346'!B75,'346'!B75,X76)</f>
        <v>1</v>
      </c>
    </row>
    <row r="77" spans="1:30">
      <c r="A77" s="11">
        <v>0</v>
      </c>
      <c r="B77" s="11" t="s">
        <v>0</v>
      </c>
      <c r="C77" s="11">
        <v>0</v>
      </c>
      <c r="D77" s="29"/>
      <c r="E77" s="11">
        <v>0</v>
      </c>
      <c r="F77" s="11">
        <v>0</v>
      </c>
      <c r="G77" s="29">
        <v>0</v>
      </c>
      <c r="H77" s="11">
        <v>0</v>
      </c>
      <c r="I77" s="29">
        <v>0</v>
      </c>
      <c r="J77" s="20">
        <f t="shared" ref="J77:J102" si="19">IF(UPPER(TRIM(B77))="MHZ",0.001,IF((UPPER(TRIM(B77)))="GHZ",1,IF(UPPER(TRIM(B77))="KHZ",0.000001,0.000000001)))</f>
        <v>1.0000000000000001E-9</v>
      </c>
      <c r="K77" s="2">
        <f t="shared" ref="K77:K102" si="20">IF(A77&gt;0,A77*J77,1000)</f>
        <v>1000</v>
      </c>
      <c r="L77" s="2">
        <f t="shared" ref="L77:L102" si="21">ABS(M$10-K77)</f>
        <v>977.5</v>
      </c>
      <c r="M77" s="2">
        <f t="shared" ref="M77:M102" si="22">IF(L77=L$10,1,0)</f>
        <v>0</v>
      </c>
      <c r="S77" s="2">
        <f t="shared" si="18"/>
        <v>72</v>
      </c>
      <c r="T77" s="2">
        <f t="shared" si="17"/>
        <v>26.5001</v>
      </c>
      <c r="U77" s="2">
        <v>15.5</v>
      </c>
      <c r="V77" s="2">
        <v>0.1</v>
      </c>
      <c r="W77" s="2">
        <v>0.1</v>
      </c>
      <c r="X77" s="2">
        <v>0.04</v>
      </c>
      <c r="AA77" s="2">
        <f>CHOOSE(NseSrc_DataType,SF_ENR,'346'!C76,'346'!C76,'346'!C76,'346'!C76,'346'!C76,U77)</f>
        <v>5</v>
      </c>
      <c r="AB77" s="2">
        <f t="shared" si="16"/>
        <v>0.1</v>
      </c>
      <c r="AC77" s="2">
        <f>CHOOSE(NseSrc_DataType,SF_NSgamma,'346'!B76,'346'!B76,'346'!B76,'346'!B76,'346'!B76,W77)</f>
        <v>0.1</v>
      </c>
      <c r="AD77" s="2">
        <f>CHOOSE(NseSrc_DataType,SF_GamCold,'346'!B76,'346'!B76,'346'!B76,'346'!B76,'346'!B76,X77)</f>
        <v>1</v>
      </c>
    </row>
    <row r="78" spans="1:30">
      <c r="A78" s="11">
        <v>0</v>
      </c>
      <c r="B78" s="11" t="s">
        <v>0</v>
      </c>
      <c r="C78" s="11">
        <v>0</v>
      </c>
      <c r="D78" s="29"/>
      <c r="E78" s="11">
        <v>0</v>
      </c>
      <c r="F78" s="11">
        <v>0</v>
      </c>
      <c r="G78" s="29">
        <v>0</v>
      </c>
      <c r="H78" s="11">
        <v>0</v>
      </c>
      <c r="I78" s="29">
        <v>0</v>
      </c>
      <c r="J78" s="20">
        <f t="shared" si="19"/>
        <v>1.0000000000000001E-9</v>
      </c>
      <c r="K78" s="2">
        <f t="shared" si="20"/>
        <v>1000</v>
      </c>
      <c r="L78" s="2">
        <f t="shared" si="21"/>
        <v>977.5</v>
      </c>
      <c r="M78" s="2">
        <f t="shared" si="22"/>
        <v>0</v>
      </c>
      <c r="S78" s="2">
        <f t="shared" si="18"/>
        <v>73</v>
      </c>
      <c r="T78" s="2">
        <f t="shared" si="17"/>
        <v>26.5001</v>
      </c>
      <c r="U78" s="2">
        <v>15.5</v>
      </c>
      <c r="V78" s="2">
        <v>0.1</v>
      </c>
      <c r="W78" s="2">
        <v>0.1</v>
      </c>
      <c r="X78" s="2">
        <v>0.04</v>
      </c>
      <c r="AA78" s="2">
        <f>CHOOSE(NseSrc_DataType,SF_ENR,'346'!C77,'346'!C77,'346'!C77,'346'!C77,'346'!C77,U78)</f>
        <v>5</v>
      </c>
      <c r="AB78" s="2">
        <f t="shared" si="16"/>
        <v>0.1</v>
      </c>
      <c r="AC78" s="2">
        <f>CHOOSE(NseSrc_DataType,SF_NSgamma,'346'!B77,'346'!B77,'346'!B77,'346'!B77,'346'!B77,W78)</f>
        <v>0.1</v>
      </c>
      <c r="AD78" s="2">
        <f>CHOOSE(NseSrc_DataType,SF_GamCold,'346'!B77,'346'!B77,'346'!B77,'346'!B77,'346'!B77,X78)</f>
        <v>1</v>
      </c>
    </row>
    <row r="79" spans="1:30">
      <c r="A79" s="11">
        <v>0</v>
      </c>
      <c r="B79" s="11" t="s">
        <v>0</v>
      </c>
      <c r="C79" s="11">
        <v>0</v>
      </c>
      <c r="D79" s="29"/>
      <c r="E79" s="11">
        <v>0</v>
      </c>
      <c r="F79" s="11">
        <v>0</v>
      </c>
      <c r="G79" s="29">
        <v>0</v>
      </c>
      <c r="H79" s="11">
        <v>0</v>
      </c>
      <c r="I79" s="29">
        <v>0</v>
      </c>
      <c r="J79" s="20">
        <f t="shared" si="19"/>
        <v>1.0000000000000001E-9</v>
      </c>
      <c r="K79" s="2">
        <f t="shared" si="20"/>
        <v>1000</v>
      </c>
      <c r="L79" s="2">
        <f t="shared" si="21"/>
        <v>977.5</v>
      </c>
      <c r="M79" s="2">
        <f t="shared" si="22"/>
        <v>0</v>
      </c>
      <c r="S79" s="2">
        <f t="shared" si="18"/>
        <v>74</v>
      </c>
      <c r="T79" s="2">
        <f t="shared" si="17"/>
        <v>26.5001</v>
      </c>
      <c r="U79" s="2">
        <v>15.5</v>
      </c>
      <c r="V79" s="2">
        <v>0.1</v>
      </c>
      <c r="W79" s="2">
        <v>0.1</v>
      </c>
      <c r="X79" s="2">
        <v>0.04</v>
      </c>
      <c r="AA79" s="2">
        <f>CHOOSE(NseSrc_DataType,SF_ENR,'346'!C78,'346'!C78,'346'!C78,'346'!C78,'346'!C78,U79)</f>
        <v>5</v>
      </c>
      <c r="AB79" s="2">
        <f t="shared" si="16"/>
        <v>0.1</v>
      </c>
      <c r="AC79" s="2">
        <f>CHOOSE(NseSrc_DataType,SF_NSgamma,'346'!B78,'346'!B78,'346'!B78,'346'!B78,'346'!B78,W79)</f>
        <v>0.1</v>
      </c>
      <c r="AD79" s="2">
        <f>CHOOSE(NseSrc_DataType,SF_GamCold,'346'!B78,'346'!B78,'346'!B78,'346'!B78,'346'!B78,X79)</f>
        <v>1</v>
      </c>
    </row>
    <row r="80" spans="1:30">
      <c r="A80" s="11">
        <v>0</v>
      </c>
      <c r="B80" s="11" t="s">
        <v>0</v>
      </c>
      <c r="C80" s="11">
        <v>0</v>
      </c>
      <c r="D80" s="29"/>
      <c r="E80" s="11">
        <v>0</v>
      </c>
      <c r="F80" s="11">
        <v>0</v>
      </c>
      <c r="G80" s="29">
        <v>0</v>
      </c>
      <c r="H80" s="11">
        <v>0</v>
      </c>
      <c r="I80" s="29">
        <v>0</v>
      </c>
      <c r="J80" s="20">
        <f t="shared" si="19"/>
        <v>1.0000000000000001E-9</v>
      </c>
      <c r="K80" s="2">
        <f t="shared" si="20"/>
        <v>1000</v>
      </c>
      <c r="L80" s="2">
        <f t="shared" si="21"/>
        <v>977.5</v>
      </c>
      <c r="M80" s="2">
        <f t="shared" si="22"/>
        <v>0</v>
      </c>
      <c r="S80" s="2">
        <f t="shared" si="18"/>
        <v>75</v>
      </c>
      <c r="T80" s="2">
        <f t="shared" si="17"/>
        <v>26.5001</v>
      </c>
      <c r="U80" s="2">
        <v>15.5</v>
      </c>
      <c r="V80" s="2">
        <v>0.1</v>
      </c>
      <c r="W80" s="2">
        <v>0.1</v>
      </c>
      <c r="X80" s="2">
        <v>0.04</v>
      </c>
      <c r="AA80" s="2">
        <f>CHOOSE(NseSrc_DataType,SF_ENR,'346'!C79,'346'!C79,'346'!C79,'346'!C79,'346'!C79,U80)</f>
        <v>5</v>
      </c>
      <c r="AB80" s="2">
        <f t="shared" si="16"/>
        <v>0.1</v>
      </c>
      <c r="AC80" s="2">
        <f>CHOOSE(NseSrc_DataType,SF_NSgamma,'346'!B79,'346'!B79,'346'!B79,'346'!B79,'346'!B79,W80)</f>
        <v>0.1</v>
      </c>
      <c r="AD80" s="2">
        <f>CHOOSE(NseSrc_DataType,SF_GamCold,'346'!B79,'346'!B79,'346'!B79,'346'!B79,'346'!B79,X80)</f>
        <v>1</v>
      </c>
    </row>
    <row r="81" spans="1:30">
      <c r="A81" s="11">
        <v>0</v>
      </c>
      <c r="B81" s="11" t="s">
        <v>0</v>
      </c>
      <c r="C81" s="11">
        <v>0</v>
      </c>
      <c r="D81" s="29"/>
      <c r="E81" s="11">
        <v>0</v>
      </c>
      <c r="F81" s="11">
        <v>0</v>
      </c>
      <c r="G81" s="29">
        <v>0</v>
      </c>
      <c r="H81" s="11">
        <v>0</v>
      </c>
      <c r="I81" s="29">
        <v>0</v>
      </c>
      <c r="J81" s="20">
        <f t="shared" si="19"/>
        <v>1.0000000000000001E-9</v>
      </c>
      <c r="K81" s="2">
        <f t="shared" si="20"/>
        <v>1000</v>
      </c>
      <c r="L81" s="2">
        <f t="shared" si="21"/>
        <v>977.5</v>
      </c>
      <c r="M81" s="2">
        <f t="shared" si="22"/>
        <v>0</v>
      </c>
      <c r="S81" s="2">
        <f t="shared" si="18"/>
        <v>76</v>
      </c>
      <c r="T81" s="2">
        <f t="shared" si="17"/>
        <v>26.5001</v>
      </c>
      <c r="U81" s="2">
        <v>15.5</v>
      </c>
      <c r="V81" s="2">
        <v>0.1</v>
      </c>
      <c r="W81" s="2">
        <v>0.1</v>
      </c>
      <c r="X81" s="2">
        <v>0.04</v>
      </c>
      <c r="AA81" s="2">
        <f>CHOOSE(NseSrc_DataType,SF_ENR,'346'!C80,'346'!C80,'346'!C80,'346'!C80,'346'!C80,U81)</f>
        <v>5</v>
      </c>
      <c r="AB81" s="2">
        <f t="shared" si="16"/>
        <v>0.1</v>
      </c>
      <c r="AC81" s="2">
        <f>CHOOSE(NseSrc_DataType,SF_NSgamma,'346'!B80,'346'!B80,'346'!B80,'346'!B80,'346'!B80,W81)</f>
        <v>0.1</v>
      </c>
      <c r="AD81" s="2">
        <f>CHOOSE(NseSrc_DataType,SF_GamCold,'346'!B80,'346'!B80,'346'!B80,'346'!B80,'346'!B80,X81)</f>
        <v>1</v>
      </c>
    </row>
    <row r="82" spans="1:30">
      <c r="A82" s="11">
        <v>0</v>
      </c>
      <c r="B82" s="11" t="s">
        <v>0</v>
      </c>
      <c r="C82" s="11">
        <v>0</v>
      </c>
      <c r="D82" s="29"/>
      <c r="E82" s="11">
        <v>0</v>
      </c>
      <c r="F82" s="11">
        <v>0</v>
      </c>
      <c r="G82" s="29">
        <v>0</v>
      </c>
      <c r="H82" s="11">
        <v>0</v>
      </c>
      <c r="I82" s="29">
        <v>0</v>
      </c>
      <c r="J82" s="20">
        <f t="shared" si="19"/>
        <v>1.0000000000000001E-9</v>
      </c>
      <c r="K82" s="2">
        <f t="shared" si="20"/>
        <v>1000</v>
      </c>
      <c r="L82" s="2">
        <f t="shared" si="21"/>
        <v>977.5</v>
      </c>
      <c r="M82" s="2">
        <f t="shared" si="22"/>
        <v>0</v>
      </c>
      <c r="S82" s="2">
        <f t="shared" si="18"/>
        <v>77</v>
      </c>
      <c r="T82" s="2">
        <f t="shared" si="17"/>
        <v>26.5001</v>
      </c>
      <c r="U82" s="2">
        <v>15.5</v>
      </c>
      <c r="V82" s="2">
        <v>0.1</v>
      </c>
      <c r="W82" s="2">
        <v>0.1</v>
      </c>
      <c r="X82" s="2">
        <v>0.04</v>
      </c>
      <c r="AA82" s="2">
        <f>CHOOSE(NseSrc_DataType,SF_ENR,'346'!C81,'346'!C81,'346'!C81,'346'!C81,'346'!C81,U82)</f>
        <v>5</v>
      </c>
      <c r="AB82" s="2">
        <f t="shared" si="16"/>
        <v>0.1</v>
      </c>
      <c r="AC82" s="2">
        <f>CHOOSE(NseSrc_DataType,SF_NSgamma,'346'!B81,'346'!B81,'346'!B81,'346'!B81,'346'!B81,W82)</f>
        <v>0.1</v>
      </c>
      <c r="AD82" s="2">
        <f>CHOOSE(NseSrc_DataType,SF_GamCold,'346'!B81,'346'!B81,'346'!B81,'346'!B81,'346'!B81,X82)</f>
        <v>1</v>
      </c>
    </row>
    <row r="83" spans="1:30">
      <c r="A83" s="11">
        <v>0</v>
      </c>
      <c r="B83" s="11" t="s">
        <v>0</v>
      </c>
      <c r="C83" s="11">
        <v>0</v>
      </c>
      <c r="D83" s="29"/>
      <c r="E83" s="11">
        <v>0</v>
      </c>
      <c r="F83" s="11">
        <v>0</v>
      </c>
      <c r="G83" s="29">
        <v>0</v>
      </c>
      <c r="H83" s="11">
        <v>0</v>
      </c>
      <c r="I83" s="29">
        <v>0</v>
      </c>
      <c r="J83" s="20">
        <f t="shared" si="19"/>
        <v>1.0000000000000001E-9</v>
      </c>
      <c r="K83" s="2">
        <f t="shared" si="20"/>
        <v>1000</v>
      </c>
      <c r="L83" s="2">
        <f t="shared" si="21"/>
        <v>977.5</v>
      </c>
      <c r="M83" s="2">
        <f t="shared" si="22"/>
        <v>0</v>
      </c>
      <c r="S83" s="2">
        <f t="shared" si="18"/>
        <v>78</v>
      </c>
      <c r="T83" s="2">
        <f t="shared" si="17"/>
        <v>26.5001</v>
      </c>
      <c r="U83" s="2">
        <v>15.5</v>
      </c>
      <c r="V83" s="2">
        <v>0.1</v>
      </c>
      <c r="W83" s="2">
        <v>0.1</v>
      </c>
      <c r="X83" s="2">
        <v>0.04</v>
      </c>
      <c r="AA83" s="2">
        <f>CHOOSE(NseSrc_DataType,SF_ENR,'346'!C82,'346'!C82,'346'!C82,'346'!C82,'346'!C82,U83)</f>
        <v>5</v>
      </c>
      <c r="AB83" s="2">
        <f t="shared" si="16"/>
        <v>0.1</v>
      </c>
      <c r="AC83" s="2">
        <f>CHOOSE(NseSrc_DataType,SF_NSgamma,'346'!B82,'346'!B82,'346'!B82,'346'!B82,'346'!B82,W83)</f>
        <v>0.1</v>
      </c>
      <c r="AD83" s="2">
        <f>CHOOSE(NseSrc_DataType,SF_GamCold,'346'!B82,'346'!B82,'346'!B82,'346'!B82,'346'!B82,X83)</f>
        <v>1</v>
      </c>
    </row>
    <row r="84" spans="1:30">
      <c r="A84" s="11">
        <v>0</v>
      </c>
      <c r="B84" s="11" t="s">
        <v>0</v>
      </c>
      <c r="C84" s="11">
        <v>0</v>
      </c>
      <c r="D84" s="29"/>
      <c r="E84" s="11">
        <v>0</v>
      </c>
      <c r="F84" s="11">
        <v>0</v>
      </c>
      <c r="G84" s="29">
        <v>0</v>
      </c>
      <c r="H84" s="11">
        <v>0</v>
      </c>
      <c r="I84" s="29">
        <v>0</v>
      </c>
      <c r="J84" s="20">
        <f t="shared" si="19"/>
        <v>1.0000000000000001E-9</v>
      </c>
      <c r="K84" s="2">
        <f t="shared" si="20"/>
        <v>1000</v>
      </c>
      <c r="L84" s="2">
        <f t="shared" si="21"/>
        <v>977.5</v>
      </c>
      <c r="M84" s="2">
        <f t="shared" si="22"/>
        <v>0</v>
      </c>
      <c r="S84" s="2">
        <f t="shared" si="18"/>
        <v>79</v>
      </c>
      <c r="T84" s="2">
        <f t="shared" si="17"/>
        <v>26.5001</v>
      </c>
      <c r="U84" s="2">
        <v>15.5</v>
      </c>
      <c r="V84" s="2">
        <v>0.1</v>
      </c>
      <c r="W84" s="2">
        <v>0.1</v>
      </c>
      <c r="X84" s="2">
        <v>0.04</v>
      </c>
      <c r="AA84" s="2">
        <f>CHOOSE(NseSrc_DataType,SF_ENR,'346'!C83,'346'!C83,'346'!C83,'346'!C83,'346'!C83,U84)</f>
        <v>5</v>
      </c>
      <c r="AB84" s="2">
        <f t="shared" si="16"/>
        <v>0.1</v>
      </c>
      <c r="AC84" s="2">
        <f>CHOOSE(NseSrc_DataType,SF_NSgamma,'346'!B83,'346'!B83,'346'!B83,'346'!B83,'346'!B83,W84)</f>
        <v>0.1</v>
      </c>
      <c r="AD84" s="2">
        <f>CHOOSE(NseSrc_DataType,SF_GamCold,'346'!B83,'346'!B83,'346'!B83,'346'!B83,'346'!B83,X84)</f>
        <v>1</v>
      </c>
    </row>
    <row r="85" spans="1:30">
      <c r="A85" s="11">
        <v>0</v>
      </c>
      <c r="B85" s="11" t="s">
        <v>0</v>
      </c>
      <c r="C85" s="11">
        <v>0</v>
      </c>
      <c r="D85" s="29"/>
      <c r="E85" s="11">
        <v>0</v>
      </c>
      <c r="F85" s="11">
        <v>0</v>
      </c>
      <c r="G85" s="29">
        <v>0</v>
      </c>
      <c r="H85" s="11">
        <v>0</v>
      </c>
      <c r="I85" s="29">
        <v>0</v>
      </c>
      <c r="J85" s="20">
        <f t="shared" si="19"/>
        <v>1.0000000000000001E-9</v>
      </c>
      <c r="K85" s="2">
        <f t="shared" si="20"/>
        <v>1000</v>
      </c>
      <c r="L85" s="2">
        <f t="shared" si="21"/>
        <v>977.5</v>
      </c>
      <c r="M85" s="2">
        <f t="shared" si="22"/>
        <v>0</v>
      </c>
      <c r="S85" s="2">
        <f t="shared" si="18"/>
        <v>80</v>
      </c>
      <c r="T85" s="2">
        <f t="shared" si="17"/>
        <v>26.5001</v>
      </c>
      <c r="U85" s="2">
        <v>15.5</v>
      </c>
      <c r="V85" s="2">
        <v>0.1</v>
      </c>
      <c r="W85" s="2">
        <v>0.1</v>
      </c>
      <c r="X85" s="2">
        <v>0.04</v>
      </c>
      <c r="AA85" s="2">
        <f>CHOOSE(NseSrc_DataType,SF_ENR,'346'!C84,'346'!C84,'346'!C84,'346'!C84,'346'!C84,U85)</f>
        <v>5</v>
      </c>
      <c r="AB85" s="2">
        <f t="shared" si="16"/>
        <v>0.1</v>
      </c>
      <c r="AC85" s="2">
        <f>CHOOSE(NseSrc_DataType,SF_NSgamma,'346'!B84,'346'!B84,'346'!B84,'346'!B84,'346'!B84,W85)</f>
        <v>0.1</v>
      </c>
      <c r="AD85" s="2">
        <f>CHOOSE(NseSrc_DataType,SF_GamCold,'346'!B84,'346'!B84,'346'!B84,'346'!B84,'346'!B84,X85)</f>
        <v>1</v>
      </c>
    </row>
    <row r="86" spans="1:30">
      <c r="A86" s="11">
        <v>0</v>
      </c>
      <c r="B86" s="11" t="s">
        <v>0</v>
      </c>
      <c r="C86" s="11">
        <v>0</v>
      </c>
      <c r="D86" s="29"/>
      <c r="E86" s="11">
        <v>0</v>
      </c>
      <c r="F86" s="11">
        <v>0</v>
      </c>
      <c r="G86" s="29">
        <v>0</v>
      </c>
      <c r="H86" s="11">
        <v>0</v>
      </c>
      <c r="I86" s="29">
        <v>0</v>
      </c>
      <c r="J86" s="20">
        <f t="shared" si="19"/>
        <v>1.0000000000000001E-9</v>
      </c>
      <c r="K86" s="2">
        <f t="shared" si="20"/>
        <v>1000</v>
      </c>
      <c r="L86" s="2">
        <f t="shared" si="21"/>
        <v>977.5</v>
      </c>
      <c r="M86" s="2">
        <f t="shared" si="22"/>
        <v>0</v>
      </c>
      <c r="S86" s="2">
        <f t="shared" si="18"/>
        <v>81</v>
      </c>
      <c r="T86" s="2">
        <f t="shared" si="17"/>
        <v>26.5001</v>
      </c>
      <c r="U86" s="2">
        <v>15.5</v>
      </c>
      <c r="V86" s="2">
        <v>0.1</v>
      </c>
      <c r="W86" s="2">
        <v>0.1</v>
      </c>
      <c r="X86" s="2">
        <v>0.04</v>
      </c>
      <c r="AA86" s="2">
        <f>CHOOSE(NseSrc_DataType,SF_ENR,'346'!C85,'346'!C85,'346'!C85,'346'!C85,'346'!C85,U86)</f>
        <v>5</v>
      </c>
      <c r="AB86" s="2">
        <f t="shared" si="16"/>
        <v>0.1</v>
      </c>
      <c r="AC86" s="2">
        <f>CHOOSE(NseSrc_DataType,SF_NSgamma,'346'!B85,'346'!B85,'346'!B85,'346'!B85,'346'!B85,W86)</f>
        <v>0.1</v>
      </c>
      <c r="AD86" s="2">
        <f>CHOOSE(NseSrc_DataType,SF_GamCold,'346'!B85,'346'!B85,'346'!B85,'346'!B85,'346'!B85,X86)</f>
        <v>1</v>
      </c>
    </row>
    <row r="87" spans="1:30">
      <c r="A87" s="11">
        <v>0</v>
      </c>
      <c r="B87" s="11" t="s">
        <v>0</v>
      </c>
      <c r="C87" s="11">
        <v>0</v>
      </c>
      <c r="D87" s="29"/>
      <c r="E87" s="11">
        <v>0</v>
      </c>
      <c r="F87" s="11">
        <v>0</v>
      </c>
      <c r="G87" s="29">
        <v>0</v>
      </c>
      <c r="H87" s="11">
        <v>0</v>
      </c>
      <c r="I87" s="29">
        <v>0</v>
      </c>
      <c r="J87" s="20">
        <f t="shared" si="19"/>
        <v>1.0000000000000001E-9</v>
      </c>
      <c r="K87" s="2">
        <f t="shared" si="20"/>
        <v>1000</v>
      </c>
      <c r="L87" s="2">
        <f t="shared" si="21"/>
        <v>977.5</v>
      </c>
      <c r="M87" s="2">
        <f t="shared" si="22"/>
        <v>0</v>
      </c>
      <c r="S87" s="2">
        <f t="shared" si="18"/>
        <v>82</v>
      </c>
      <c r="T87" s="2">
        <f t="shared" si="17"/>
        <v>26.5001</v>
      </c>
      <c r="U87" s="2">
        <v>15.5</v>
      </c>
      <c r="V87" s="2">
        <v>0.1</v>
      </c>
      <c r="W87" s="2">
        <v>0.1</v>
      </c>
      <c r="X87" s="2">
        <v>0.04</v>
      </c>
      <c r="AA87" s="2">
        <f>CHOOSE(NseSrc_DataType,SF_ENR,'346'!C86,'346'!C86,'346'!C86,'346'!C86,'346'!C86,U87)</f>
        <v>5</v>
      </c>
      <c r="AB87" s="2">
        <f t="shared" si="16"/>
        <v>0.1</v>
      </c>
      <c r="AC87" s="2">
        <f>CHOOSE(NseSrc_DataType,SF_NSgamma,'346'!B86,'346'!B86,'346'!B86,'346'!B86,'346'!B86,W87)</f>
        <v>0.1</v>
      </c>
      <c r="AD87" s="2">
        <f>CHOOSE(NseSrc_DataType,SF_GamCold,'346'!B86,'346'!B86,'346'!B86,'346'!B86,'346'!B86,X87)</f>
        <v>1</v>
      </c>
    </row>
    <row r="88" spans="1:30">
      <c r="A88" s="11">
        <v>0</v>
      </c>
      <c r="B88" s="11" t="s">
        <v>0</v>
      </c>
      <c r="C88" s="11">
        <v>0</v>
      </c>
      <c r="D88" s="29"/>
      <c r="E88" s="11">
        <v>0</v>
      </c>
      <c r="F88" s="11">
        <v>0</v>
      </c>
      <c r="G88" s="29">
        <v>0</v>
      </c>
      <c r="H88" s="11">
        <v>0</v>
      </c>
      <c r="I88" s="29">
        <v>0</v>
      </c>
      <c r="J88" s="20">
        <f t="shared" si="19"/>
        <v>1.0000000000000001E-9</v>
      </c>
      <c r="K88" s="2">
        <f t="shared" si="20"/>
        <v>1000</v>
      </c>
      <c r="L88" s="2">
        <f t="shared" si="21"/>
        <v>977.5</v>
      </c>
      <c r="M88" s="2">
        <f t="shared" si="22"/>
        <v>0</v>
      </c>
      <c r="S88" s="2">
        <f t="shared" si="18"/>
        <v>83</v>
      </c>
      <c r="T88" s="2">
        <f t="shared" si="17"/>
        <v>26.5001</v>
      </c>
      <c r="U88" s="2">
        <v>15.5</v>
      </c>
      <c r="V88" s="2">
        <v>0.1</v>
      </c>
      <c r="W88" s="2">
        <v>0.1</v>
      </c>
      <c r="X88" s="2">
        <v>0.04</v>
      </c>
      <c r="AA88" s="2">
        <f>CHOOSE(NseSrc_DataType,SF_ENR,'346'!C87,'346'!C87,'346'!C87,'346'!C87,'346'!C87,U88)</f>
        <v>5</v>
      </c>
      <c r="AB88" s="2">
        <f t="shared" si="16"/>
        <v>0.1</v>
      </c>
      <c r="AC88" s="2">
        <f>CHOOSE(NseSrc_DataType,SF_NSgamma,'346'!B87,'346'!B87,'346'!B87,'346'!B87,'346'!B87,W88)</f>
        <v>0.1</v>
      </c>
      <c r="AD88" s="2">
        <f>CHOOSE(NseSrc_DataType,SF_GamCold,'346'!B87,'346'!B87,'346'!B87,'346'!B87,'346'!B87,X88)</f>
        <v>1</v>
      </c>
    </row>
    <row r="89" spans="1:30">
      <c r="A89" s="11">
        <v>0</v>
      </c>
      <c r="B89" s="11" t="s">
        <v>0</v>
      </c>
      <c r="C89" s="11">
        <v>0</v>
      </c>
      <c r="D89" s="29"/>
      <c r="E89" s="11">
        <v>0</v>
      </c>
      <c r="F89" s="11">
        <v>0</v>
      </c>
      <c r="G89" s="29">
        <v>0</v>
      </c>
      <c r="H89" s="11">
        <v>0</v>
      </c>
      <c r="I89" s="29">
        <v>0</v>
      </c>
      <c r="J89" s="20">
        <f t="shared" si="19"/>
        <v>1.0000000000000001E-9</v>
      </c>
      <c r="K89" s="2">
        <f t="shared" si="20"/>
        <v>1000</v>
      </c>
      <c r="L89" s="2">
        <f t="shared" si="21"/>
        <v>977.5</v>
      </c>
      <c r="M89" s="2">
        <f t="shared" si="22"/>
        <v>0</v>
      </c>
      <c r="S89" s="2">
        <f t="shared" si="18"/>
        <v>84</v>
      </c>
      <c r="T89" s="2">
        <f t="shared" si="17"/>
        <v>26.5001</v>
      </c>
      <c r="U89" s="2">
        <v>15.5</v>
      </c>
      <c r="V89" s="2">
        <v>0.1</v>
      </c>
      <c r="W89" s="2">
        <v>0.1</v>
      </c>
      <c r="X89" s="2">
        <v>0.04</v>
      </c>
      <c r="AA89" s="2">
        <f>CHOOSE(NseSrc_DataType,SF_ENR,'346'!C88,'346'!C88,'346'!C88,'346'!C88,'346'!C88,U89)</f>
        <v>5</v>
      </c>
      <c r="AB89" s="2">
        <f t="shared" si="16"/>
        <v>0.1</v>
      </c>
      <c r="AC89" s="2">
        <f>CHOOSE(NseSrc_DataType,SF_NSgamma,'346'!B88,'346'!B88,'346'!B88,'346'!B88,'346'!B88,W89)</f>
        <v>0.1</v>
      </c>
      <c r="AD89" s="2">
        <f>CHOOSE(NseSrc_DataType,SF_GamCold,'346'!B88,'346'!B88,'346'!B88,'346'!B88,'346'!B88,X89)</f>
        <v>1</v>
      </c>
    </row>
    <row r="90" spans="1:30">
      <c r="A90" s="11">
        <v>0</v>
      </c>
      <c r="B90" s="11" t="s">
        <v>0</v>
      </c>
      <c r="C90" s="11">
        <v>0</v>
      </c>
      <c r="D90" s="29"/>
      <c r="E90" s="11">
        <v>0</v>
      </c>
      <c r="F90" s="11">
        <v>0</v>
      </c>
      <c r="G90" s="29">
        <v>0</v>
      </c>
      <c r="H90" s="11">
        <v>0</v>
      </c>
      <c r="I90" s="29">
        <v>0</v>
      </c>
      <c r="J90" s="20">
        <f t="shared" si="19"/>
        <v>1.0000000000000001E-9</v>
      </c>
      <c r="K90" s="2">
        <f t="shared" si="20"/>
        <v>1000</v>
      </c>
      <c r="L90" s="2">
        <f t="shared" si="21"/>
        <v>977.5</v>
      </c>
      <c r="M90" s="2">
        <f t="shared" si="22"/>
        <v>0</v>
      </c>
      <c r="S90" s="2">
        <f t="shared" si="18"/>
        <v>85</v>
      </c>
      <c r="T90" s="2">
        <f t="shared" si="17"/>
        <v>26.5001</v>
      </c>
      <c r="U90" s="2">
        <v>15.5</v>
      </c>
      <c r="V90" s="2">
        <v>0.1</v>
      </c>
      <c r="W90" s="2">
        <v>0.1</v>
      </c>
      <c r="X90" s="2">
        <v>0.04</v>
      </c>
      <c r="AA90" s="2">
        <f>CHOOSE(NseSrc_DataType,SF_ENR,'346'!C89,'346'!C89,'346'!C89,'346'!C89,'346'!C89,U90)</f>
        <v>5</v>
      </c>
      <c r="AB90" s="2">
        <f t="shared" si="16"/>
        <v>0.1</v>
      </c>
      <c r="AC90" s="2">
        <f>CHOOSE(NseSrc_DataType,SF_NSgamma,'346'!B89,'346'!B89,'346'!B89,'346'!B89,'346'!B89,W90)</f>
        <v>0.1</v>
      </c>
      <c r="AD90" s="2">
        <f>CHOOSE(NseSrc_DataType,SF_GamCold,'346'!B89,'346'!B89,'346'!B89,'346'!B89,'346'!B89,X90)</f>
        <v>1</v>
      </c>
    </row>
    <row r="91" spans="1:30">
      <c r="A91" s="11">
        <v>0</v>
      </c>
      <c r="B91" s="11" t="s">
        <v>0</v>
      </c>
      <c r="C91" s="11">
        <v>0</v>
      </c>
      <c r="D91" s="29"/>
      <c r="E91" s="11">
        <v>0</v>
      </c>
      <c r="F91" s="11">
        <v>0</v>
      </c>
      <c r="G91" s="29">
        <v>0</v>
      </c>
      <c r="H91" s="11">
        <v>0</v>
      </c>
      <c r="I91" s="29">
        <v>0</v>
      </c>
      <c r="J91" s="20">
        <f t="shared" si="19"/>
        <v>1.0000000000000001E-9</v>
      </c>
      <c r="K91" s="2">
        <f t="shared" si="20"/>
        <v>1000</v>
      </c>
      <c r="L91" s="2">
        <f t="shared" si="21"/>
        <v>977.5</v>
      </c>
      <c r="M91" s="2">
        <f t="shared" si="22"/>
        <v>0</v>
      </c>
      <c r="S91" s="2">
        <f t="shared" si="18"/>
        <v>86</v>
      </c>
      <c r="T91" s="2">
        <f t="shared" si="17"/>
        <v>26.5001</v>
      </c>
      <c r="U91" s="2">
        <v>15.5</v>
      </c>
      <c r="V91" s="2">
        <v>0.1</v>
      </c>
      <c r="W91" s="2">
        <v>0.1</v>
      </c>
      <c r="X91" s="2">
        <v>0.04</v>
      </c>
      <c r="AA91" s="2">
        <f>CHOOSE(NseSrc_DataType,SF_ENR,'346'!C90,'346'!C90,'346'!C90,'346'!C90,'346'!C90,U91)</f>
        <v>5</v>
      </c>
      <c r="AB91" s="2">
        <f t="shared" si="16"/>
        <v>0.1</v>
      </c>
      <c r="AC91" s="2">
        <f>CHOOSE(NseSrc_DataType,SF_NSgamma,'346'!B90,'346'!B90,'346'!B90,'346'!B90,'346'!B90,W91)</f>
        <v>0.1</v>
      </c>
      <c r="AD91" s="2">
        <f>CHOOSE(NseSrc_DataType,SF_GamCold,'346'!B90,'346'!B90,'346'!B90,'346'!B90,'346'!B90,X91)</f>
        <v>1</v>
      </c>
    </row>
    <row r="92" spans="1:30">
      <c r="A92" s="11">
        <v>0</v>
      </c>
      <c r="B92" s="11" t="s">
        <v>0</v>
      </c>
      <c r="C92" s="11">
        <v>0</v>
      </c>
      <c r="D92" s="29"/>
      <c r="E92" s="11">
        <v>0</v>
      </c>
      <c r="F92" s="11">
        <v>0</v>
      </c>
      <c r="G92" s="29">
        <v>0</v>
      </c>
      <c r="H92" s="11">
        <v>0</v>
      </c>
      <c r="I92" s="29">
        <v>0</v>
      </c>
      <c r="J92" s="20">
        <f t="shared" si="19"/>
        <v>1.0000000000000001E-9</v>
      </c>
      <c r="K92" s="2">
        <f t="shared" si="20"/>
        <v>1000</v>
      </c>
      <c r="L92" s="2">
        <f t="shared" si="21"/>
        <v>977.5</v>
      </c>
      <c r="M92" s="2">
        <f t="shared" si="22"/>
        <v>0</v>
      </c>
      <c r="S92" s="2">
        <f t="shared" si="18"/>
        <v>87</v>
      </c>
      <c r="T92" s="2">
        <f t="shared" si="17"/>
        <v>26.5001</v>
      </c>
      <c r="U92" s="2">
        <v>15.5</v>
      </c>
      <c r="V92" s="2">
        <v>0.1</v>
      </c>
      <c r="W92" s="2">
        <v>0.1</v>
      </c>
      <c r="X92" s="2">
        <v>0.04</v>
      </c>
      <c r="AA92" s="2">
        <f>CHOOSE(NseSrc_DataType,SF_ENR,'346'!C91,'346'!C91,'346'!C91,'346'!C91,'346'!C91,U92)</f>
        <v>5</v>
      </c>
      <c r="AB92" s="2">
        <f t="shared" si="16"/>
        <v>0.1</v>
      </c>
      <c r="AC92" s="2">
        <f>CHOOSE(NseSrc_DataType,SF_NSgamma,'346'!B91,'346'!B91,'346'!B91,'346'!B91,'346'!B91,W92)</f>
        <v>0.1</v>
      </c>
      <c r="AD92" s="2">
        <f>CHOOSE(NseSrc_DataType,SF_GamCold,'346'!B91,'346'!B91,'346'!B91,'346'!B91,'346'!B91,X92)</f>
        <v>1</v>
      </c>
    </row>
    <row r="93" spans="1:30">
      <c r="A93" s="11">
        <v>0</v>
      </c>
      <c r="B93" s="11" t="s">
        <v>0</v>
      </c>
      <c r="C93" s="11">
        <v>0</v>
      </c>
      <c r="D93" s="29"/>
      <c r="E93" s="11">
        <v>0</v>
      </c>
      <c r="F93" s="11">
        <v>0</v>
      </c>
      <c r="G93" s="29">
        <v>0</v>
      </c>
      <c r="H93" s="11">
        <v>0</v>
      </c>
      <c r="I93" s="29">
        <v>0</v>
      </c>
      <c r="J93" s="20">
        <f t="shared" si="19"/>
        <v>1.0000000000000001E-9</v>
      </c>
      <c r="K93" s="2">
        <f t="shared" si="20"/>
        <v>1000</v>
      </c>
      <c r="L93" s="2">
        <f t="shared" si="21"/>
        <v>977.5</v>
      </c>
      <c r="M93" s="2">
        <f t="shared" si="22"/>
        <v>0</v>
      </c>
      <c r="S93" s="2">
        <f t="shared" si="18"/>
        <v>88</v>
      </c>
      <c r="T93" s="2">
        <f t="shared" si="17"/>
        <v>26.5001</v>
      </c>
      <c r="U93" s="2">
        <v>15.5</v>
      </c>
      <c r="V93" s="2">
        <v>0.1</v>
      </c>
      <c r="W93" s="2">
        <v>0.1</v>
      </c>
      <c r="X93" s="2">
        <v>0.04</v>
      </c>
      <c r="AA93" s="2">
        <f>CHOOSE(NseSrc_DataType,SF_ENR,'346'!C92,'346'!C92,'346'!C92,'346'!C92,'346'!C92,U93)</f>
        <v>5</v>
      </c>
      <c r="AB93" s="2">
        <f t="shared" si="16"/>
        <v>0.1</v>
      </c>
      <c r="AC93" s="2">
        <f>CHOOSE(NseSrc_DataType,SF_NSgamma,'346'!B92,'346'!B92,'346'!B92,'346'!B92,'346'!B92,W93)</f>
        <v>0.1</v>
      </c>
      <c r="AD93" s="2">
        <f>CHOOSE(NseSrc_DataType,SF_GamCold,'346'!B92,'346'!B92,'346'!B92,'346'!B92,'346'!B92,X93)</f>
        <v>1</v>
      </c>
    </row>
    <row r="94" spans="1:30">
      <c r="A94" s="11">
        <v>0</v>
      </c>
      <c r="B94" s="11" t="s">
        <v>0</v>
      </c>
      <c r="C94" s="11">
        <v>0</v>
      </c>
      <c r="D94" s="29"/>
      <c r="E94" s="11">
        <v>0</v>
      </c>
      <c r="F94" s="11">
        <v>0</v>
      </c>
      <c r="G94" s="29">
        <v>0</v>
      </c>
      <c r="H94" s="11">
        <v>0</v>
      </c>
      <c r="I94" s="29">
        <v>0</v>
      </c>
      <c r="J94" s="20">
        <f t="shared" si="19"/>
        <v>1.0000000000000001E-9</v>
      </c>
      <c r="K94" s="2">
        <f t="shared" si="20"/>
        <v>1000</v>
      </c>
      <c r="L94" s="2">
        <f t="shared" si="21"/>
        <v>977.5</v>
      </c>
      <c r="M94" s="2">
        <f t="shared" si="22"/>
        <v>0</v>
      </c>
      <c r="S94" s="2">
        <f t="shared" si="18"/>
        <v>89</v>
      </c>
      <c r="T94" s="2">
        <f t="shared" si="17"/>
        <v>26.5001</v>
      </c>
      <c r="U94" s="2">
        <v>15.5</v>
      </c>
      <c r="V94" s="2">
        <v>0.1</v>
      </c>
      <c r="W94" s="2">
        <v>0.1</v>
      </c>
      <c r="X94" s="2">
        <v>0.04</v>
      </c>
      <c r="AA94" s="2">
        <f>CHOOSE(NseSrc_DataType,SF_ENR,'346'!C93,'346'!C93,'346'!C93,'346'!C93,'346'!C93,U94)</f>
        <v>5</v>
      </c>
      <c r="AB94" s="2">
        <f t="shared" si="16"/>
        <v>0.1</v>
      </c>
      <c r="AC94" s="2">
        <f>CHOOSE(NseSrc_DataType,SF_NSgamma,'346'!B93,'346'!B93,'346'!B93,'346'!B93,'346'!B93,W94)</f>
        <v>0.1</v>
      </c>
      <c r="AD94" s="2">
        <f>CHOOSE(NseSrc_DataType,SF_GamCold,'346'!B93,'346'!B93,'346'!B93,'346'!B93,'346'!B93,X94)</f>
        <v>1</v>
      </c>
    </row>
    <row r="95" spans="1:30">
      <c r="A95" s="11">
        <v>0</v>
      </c>
      <c r="B95" s="11" t="s">
        <v>0</v>
      </c>
      <c r="C95" s="11">
        <v>0</v>
      </c>
      <c r="D95" s="29"/>
      <c r="E95" s="11">
        <v>0</v>
      </c>
      <c r="F95" s="11">
        <v>0</v>
      </c>
      <c r="G95" s="29">
        <v>0</v>
      </c>
      <c r="H95" s="11">
        <v>0</v>
      </c>
      <c r="I95" s="29">
        <v>0</v>
      </c>
      <c r="J95" s="20">
        <f t="shared" si="19"/>
        <v>1.0000000000000001E-9</v>
      </c>
      <c r="K95" s="2">
        <f t="shared" si="20"/>
        <v>1000</v>
      </c>
      <c r="L95" s="2">
        <f t="shared" si="21"/>
        <v>977.5</v>
      </c>
      <c r="M95" s="2">
        <f t="shared" si="22"/>
        <v>0</v>
      </c>
      <c r="S95" s="2">
        <f t="shared" si="18"/>
        <v>90</v>
      </c>
      <c r="T95" s="2">
        <f t="shared" si="17"/>
        <v>26.5001</v>
      </c>
      <c r="U95" s="2">
        <v>15.5</v>
      </c>
      <c r="V95" s="2">
        <v>0.1</v>
      </c>
      <c r="W95" s="2">
        <v>0.1</v>
      </c>
      <c r="X95" s="2">
        <v>0.04</v>
      </c>
      <c r="AA95" s="2">
        <f>CHOOSE(NseSrc_DataType,SF_ENR,'346'!C94,'346'!C94,'346'!C94,'346'!C94,'346'!C94,U95)</f>
        <v>5</v>
      </c>
      <c r="AB95" s="2">
        <f t="shared" si="16"/>
        <v>0.1</v>
      </c>
      <c r="AC95" s="2">
        <f>CHOOSE(NseSrc_DataType,SF_NSgamma,'346'!B94,'346'!B94,'346'!B94,'346'!B94,'346'!B94,W95)</f>
        <v>0.1</v>
      </c>
      <c r="AD95" s="2">
        <f>CHOOSE(NseSrc_DataType,SF_GamCold,'346'!B94,'346'!B94,'346'!B94,'346'!B94,'346'!B94,X95)</f>
        <v>1</v>
      </c>
    </row>
    <row r="96" spans="1:30">
      <c r="A96" s="11">
        <v>0</v>
      </c>
      <c r="B96" s="11" t="s">
        <v>0</v>
      </c>
      <c r="C96" s="11">
        <v>0</v>
      </c>
      <c r="D96" s="29"/>
      <c r="E96" s="11">
        <v>0</v>
      </c>
      <c r="F96" s="11">
        <v>0</v>
      </c>
      <c r="G96" s="29">
        <v>0</v>
      </c>
      <c r="H96" s="11">
        <v>0</v>
      </c>
      <c r="I96" s="29">
        <v>0</v>
      </c>
      <c r="J96" s="20">
        <f t="shared" si="19"/>
        <v>1.0000000000000001E-9</v>
      </c>
      <c r="K96" s="2">
        <f t="shared" si="20"/>
        <v>1000</v>
      </c>
      <c r="L96" s="2">
        <f t="shared" si="21"/>
        <v>977.5</v>
      </c>
      <c r="M96" s="2">
        <f t="shared" si="22"/>
        <v>0</v>
      </c>
      <c r="S96" s="2">
        <f t="shared" si="18"/>
        <v>91</v>
      </c>
      <c r="T96" s="2">
        <f t="shared" si="17"/>
        <v>26.5001</v>
      </c>
      <c r="U96" s="2">
        <v>15.5</v>
      </c>
      <c r="V96" s="2">
        <v>0.1</v>
      </c>
      <c r="W96" s="2">
        <v>0.1</v>
      </c>
      <c r="X96" s="2">
        <v>0.04</v>
      </c>
      <c r="AA96" s="2">
        <f>CHOOSE(NseSrc_DataType,SF_ENR,'346'!C95,'346'!C95,'346'!C95,'346'!C95,'346'!C95,U96)</f>
        <v>5</v>
      </c>
      <c r="AB96" s="2">
        <f t="shared" si="16"/>
        <v>0.1</v>
      </c>
      <c r="AC96" s="2">
        <f>CHOOSE(NseSrc_DataType,SF_NSgamma,'346'!B95,'346'!B95,'346'!B95,'346'!B95,'346'!B95,W96)</f>
        <v>0.1</v>
      </c>
      <c r="AD96" s="2">
        <f>CHOOSE(NseSrc_DataType,SF_GamCold,'346'!B95,'346'!B95,'346'!B95,'346'!B95,'346'!B95,X96)</f>
        <v>1</v>
      </c>
    </row>
    <row r="97" spans="1:30">
      <c r="A97" s="11">
        <v>0</v>
      </c>
      <c r="B97" s="11" t="s">
        <v>0</v>
      </c>
      <c r="C97" s="11">
        <v>0</v>
      </c>
      <c r="D97" s="29"/>
      <c r="E97" s="11">
        <v>0</v>
      </c>
      <c r="F97" s="11">
        <v>0</v>
      </c>
      <c r="G97" s="29">
        <v>0</v>
      </c>
      <c r="H97" s="11">
        <v>0</v>
      </c>
      <c r="I97" s="29">
        <v>0</v>
      </c>
      <c r="J97" s="20">
        <f t="shared" si="19"/>
        <v>1.0000000000000001E-9</v>
      </c>
      <c r="K97" s="2">
        <f t="shared" si="20"/>
        <v>1000</v>
      </c>
      <c r="L97" s="2">
        <f t="shared" si="21"/>
        <v>977.5</v>
      </c>
      <c r="M97" s="2">
        <f t="shared" si="22"/>
        <v>0</v>
      </c>
      <c r="S97" s="2">
        <f t="shared" si="18"/>
        <v>92</v>
      </c>
      <c r="T97" s="2">
        <f t="shared" si="17"/>
        <v>26.5001</v>
      </c>
      <c r="U97" s="2">
        <v>15.5</v>
      </c>
      <c r="V97" s="2">
        <v>0.1</v>
      </c>
      <c r="W97" s="2">
        <v>0.1</v>
      </c>
      <c r="X97" s="2">
        <v>0.04</v>
      </c>
      <c r="AA97" s="2">
        <f>CHOOSE(NseSrc_DataType,SF_ENR,'346'!C96,'346'!C96,'346'!C96,'346'!C96,'346'!C96,U97)</f>
        <v>5</v>
      </c>
      <c r="AB97" s="2">
        <f t="shared" si="16"/>
        <v>0.1</v>
      </c>
      <c r="AC97" s="2">
        <f>CHOOSE(NseSrc_DataType,SF_NSgamma,'346'!B96,'346'!B96,'346'!B96,'346'!B96,'346'!B96,W97)</f>
        <v>0.1</v>
      </c>
      <c r="AD97" s="2">
        <f>CHOOSE(NseSrc_DataType,SF_GamCold,'346'!B96,'346'!B96,'346'!B96,'346'!B96,'346'!B96,X97)</f>
        <v>1</v>
      </c>
    </row>
    <row r="98" spans="1:30">
      <c r="A98" s="11">
        <v>0</v>
      </c>
      <c r="B98" s="11" t="s">
        <v>0</v>
      </c>
      <c r="C98" s="11">
        <v>0</v>
      </c>
      <c r="D98" s="29"/>
      <c r="E98" s="11">
        <v>0</v>
      </c>
      <c r="F98" s="11">
        <v>0</v>
      </c>
      <c r="G98" s="29">
        <v>0</v>
      </c>
      <c r="H98" s="11">
        <v>0</v>
      </c>
      <c r="I98" s="29">
        <v>0</v>
      </c>
      <c r="J98" s="20">
        <f t="shared" si="19"/>
        <v>1.0000000000000001E-9</v>
      </c>
      <c r="K98" s="2">
        <f t="shared" si="20"/>
        <v>1000</v>
      </c>
      <c r="L98" s="2">
        <f t="shared" si="21"/>
        <v>977.5</v>
      </c>
      <c r="M98" s="2">
        <f t="shared" si="22"/>
        <v>0</v>
      </c>
      <c r="S98" s="2">
        <f t="shared" si="18"/>
        <v>93</v>
      </c>
      <c r="T98" s="2">
        <f t="shared" si="17"/>
        <v>26.5001</v>
      </c>
      <c r="U98" s="2">
        <v>15.5</v>
      </c>
      <c r="V98" s="2">
        <v>0.1</v>
      </c>
      <c r="W98" s="2">
        <v>0.1</v>
      </c>
      <c r="X98" s="2">
        <v>0.04</v>
      </c>
      <c r="AA98" s="2">
        <f>CHOOSE(NseSrc_DataType,SF_ENR,'346'!C97,'346'!C97,'346'!C97,'346'!C97,'346'!C97,U98)</f>
        <v>5</v>
      </c>
      <c r="AB98" s="2">
        <f t="shared" si="16"/>
        <v>0.1</v>
      </c>
      <c r="AC98" s="2">
        <f>CHOOSE(NseSrc_DataType,SF_NSgamma,'346'!B97,'346'!B97,'346'!B97,'346'!B97,'346'!B97,W98)</f>
        <v>0.1</v>
      </c>
      <c r="AD98" s="2">
        <f>CHOOSE(NseSrc_DataType,SF_GamCold,'346'!B97,'346'!B97,'346'!B97,'346'!B97,'346'!B97,X98)</f>
        <v>1</v>
      </c>
    </row>
    <row r="99" spans="1:30">
      <c r="A99" s="11">
        <v>0</v>
      </c>
      <c r="B99" s="11" t="s">
        <v>0</v>
      </c>
      <c r="C99" s="11">
        <v>0</v>
      </c>
      <c r="D99" s="29"/>
      <c r="E99" s="11">
        <v>0</v>
      </c>
      <c r="F99" s="11">
        <v>0</v>
      </c>
      <c r="G99" s="29">
        <v>0</v>
      </c>
      <c r="H99" s="11">
        <v>0</v>
      </c>
      <c r="I99" s="29">
        <v>0</v>
      </c>
      <c r="J99" s="20">
        <f t="shared" si="19"/>
        <v>1.0000000000000001E-9</v>
      </c>
      <c r="K99" s="2">
        <f t="shared" si="20"/>
        <v>1000</v>
      </c>
      <c r="L99" s="2">
        <f t="shared" si="21"/>
        <v>977.5</v>
      </c>
      <c r="M99" s="2">
        <f t="shared" si="22"/>
        <v>0</v>
      </c>
      <c r="S99" s="2">
        <f t="shared" si="18"/>
        <v>94</v>
      </c>
      <c r="T99" s="2">
        <f t="shared" si="17"/>
        <v>26.5001</v>
      </c>
      <c r="U99" s="2">
        <v>15.5</v>
      </c>
      <c r="V99" s="2">
        <v>0.1</v>
      </c>
      <c r="W99" s="2">
        <v>0.1</v>
      </c>
      <c r="X99" s="2">
        <v>0.04</v>
      </c>
      <c r="AA99" s="2">
        <f>CHOOSE(NseSrc_DataType,SF_ENR,'346'!C98,'346'!C98,'346'!C98,'346'!C98,'346'!C98,U99)</f>
        <v>5</v>
      </c>
      <c r="AB99" s="2">
        <f t="shared" si="16"/>
        <v>0.1</v>
      </c>
      <c r="AC99" s="2">
        <f>CHOOSE(NseSrc_DataType,SF_NSgamma,'346'!B98,'346'!B98,'346'!B98,'346'!B98,'346'!B98,W99)</f>
        <v>0.1</v>
      </c>
      <c r="AD99" s="2">
        <f>CHOOSE(NseSrc_DataType,SF_GamCold,'346'!B98,'346'!B98,'346'!B98,'346'!B98,'346'!B98,X99)</f>
        <v>1</v>
      </c>
    </row>
    <row r="100" spans="1:30">
      <c r="A100" s="11">
        <v>0</v>
      </c>
      <c r="B100" s="11" t="s">
        <v>0</v>
      </c>
      <c r="C100" s="11">
        <v>0</v>
      </c>
      <c r="D100" s="29"/>
      <c r="E100" s="11">
        <v>0</v>
      </c>
      <c r="F100" s="11">
        <v>0</v>
      </c>
      <c r="G100" s="29">
        <v>0</v>
      </c>
      <c r="H100" s="11">
        <v>0</v>
      </c>
      <c r="I100" s="29">
        <v>0</v>
      </c>
      <c r="J100" s="20">
        <f t="shared" si="19"/>
        <v>1.0000000000000001E-9</v>
      </c>
      <c r="K100" s="2">
        <f t="shared" si="20"/>
        <v>1000</v>
      </c>
      <c r="L100" s="2">
        <f t="shared" si="21"/>
        <v>977.5</v>
      </c>
      <c r="M100" s="2">
        <f t="shared" si="22"/>
        <v>0</v>
      </c>
      <c r="S100" s="2">
        <f t="shared" si="18"/>
        <v>95</v>
      </c>
      <c r="T100" s="2">
        <f t="shared" si="17"/>
        <v>26.5001</v>
      </c>
      <c r="U100" s="2">
        <v>15.5</v>
      </c>
      <c r="V100" s="2">
        <v>0.1</v>
      </c>
      <c r="W100" s="2">
        <v>0.1</v>
      </c>
      <c r="X100" s="2">
        <v>0.04</v>
      </c>
      <c r="AA100" s="2">
        <f>CHOOSE(NseSrc_DataType,SF_ENR,'346'!C99,'346'!C99,'346'!C99,'346'!C99,'346'!C99,U100)</f>
        <v>5</v>
      </c>
      <c r="AB100" s="2">
        <f t="shared" si="16"/>
        <v>0.1</v>
      </c>
      <c r="AC100" s="2">
        <f>CHOOSE(NseSrc_DataType,SF_NSgamma,'346'!B99,'346'!B99,'346'!B99,'346'!B99,'346'!B99,W100)</f>
        <v>0.1</v>
      </c>
      <c r="AD100" s="2">
        <f>CHOOSE(NseSrc_DataType,SF_GamCold,'346'!B99,'346'!B99,'346'!B99,'346'!B99,'346'!B99,X100)</f>
        <v>1</v>
      </c>
    </row>
    <row r="101" spans="1:30">
      <c r="A101" s="11">
        <v>0</v>
      </c>
      <c r="B101" s="11" t="s">
        <v>0</v>
      </c>
      <c r="C101" s="11">
        <v>0</v>
      </c>
      <c r="D101" s="29"/>
      <c r="E101" s="11">
        <v>0</v>
      </c>
      <c r="F101" s="11">
        <v>0</v>
      </c>
      <c r="G101" s="29">
        <v>0</v>
      </c>
      <c r="H101" s="11">
        <v>0</v>
      </c>
      <c r="I101" s="29">
        <v>0</v>
      </c>
      <c r="J101" s="20">
        <f t="shared" si="19"/>
        <v>1.0000000000000001E-9</v>
      </c>
      <c r="K101" s="2">
        <f t="shared" si="20"/>
        <v>1000</v>
      </c>
      <c r="L101" s="2">
        <f t="shared" si="21"/>
        <v>977.5</v>
      </c>
      <c r="M101" s="2">
        <f t="shared" si="22"/>
        <v>0</v>
      </c>
      <c r="S101" s="2">
        <f t="shared" si="18"/>
        <v>96</v>
      </c>
      <c r="T101" s="2">
        <f t="shared" si="17"/>
        <v>26.5001</v>
      </c>
      <c r="U101" s="2">
        <v>15.5</v>
      </c>
      <c r="V101" s="2">
        <v>0.1</v>
      </c>
      <c r="W101" s="2">
        <v>0.1</v>
      </c>
      <c r="X101" s="2">
        <v>0.04</v>
      </c>
      <c r="AA101" s="2">
        <f>CHOOSE(NseSrc_DataType,SF_ENR,'346'!C100,'346'!C100,'346'!C100,'346'!C100,'346'!C100,U101)</f>
        <v>5</v>
      </c>
      <c r="AB101" s="2">
        <f t="shared" si="16"/>
        <v>0.1</v>
      </c>
      <c r="AC101" s="2">
        <f>CHOOSE(NseSrc_DataType,SF_NSgamma,'346'!B100,'346'!B100,'346'!B100,'346'!B100,'346'!B100,W101)</f>
        <v>0.1</v>
      </c>
      <c r="AD101" s="2">
        <f>CHOOSE(NseSrc_DataType,SF_GamCold,'346'!B100,'346'!B100,'346'!B100,'346'!B100,'346'!B100,X101)</f>
        <v>1</v>
      </c>
    </row>
    <row r="102" spans="1:30">
      <c r="A102" s="11">
        <v>0</v>
      </c>
      <c r="B102" s="11" t="s">
        <v>0</v>
      </c>
      <c r="C102" s="11">
        <v>0</v>
      </c>
      <c r="D102" s="29"/>
      <c r="E102" s="11">
        <v>0</v>
      </c>
      <c r="F102" s="11">
        <v>0</v>
      </c>
      <c r="G102" s="29">
        <v>0</v>
      </c>
      <c r="H102" s="11">
        <v>0</v>
      </c>
      <c r="I102" s="29">
        <v>0</v>
      </c>
      <c r="J102" s="20">
        <f t="shared" si="19"/>
        <v>1.0000000000000001E-9</v>
      </c>
      <c r="K102" s="2">
        <f t="shared" si="20"/>
        <v>1000</v>
      </c>
      <c r="L102" s="2">
        <f t="shared" si="21"/>
        <v>977.5</v>
      </c>
      <c r="M102" s="2">
        <f t="shared" si="22"/>
        <v>0</v>
      </c>
      <c r="S102" s="2">
        <f t="shared" si="18"/>
        <v>97</v>
      </c>
      <c r="T102" s="2">
        <f t="shared" si="17"/>
        <v>26.5001</v>
      </c>
      <c r="U102" s="2">
        <v>15.5</v>
      </c>
      <c r="V102" s="2">
        <v>0.1</v>
      </c>
      <c r="W102" s="2">
        <v>0.1</v>
      </c>
      <c r="X102" s="2">
        <v>0.04</v>
      </c>
      <c r="AA102" s="2">
        <f>CHOOSE(NseSrc_DataType,SF_ENR,'346'!C101,'346'!C101,'346'!C101,'346'!C101,'346'!C101,U102)</f>
        <v>5</v>
      </c>
      <c r="AB102" s="2">
        <f t="shared" ref="AB102:AB107" si="23">CHOOSE(ENRU_DataType,SF_ENRU,V102)</f>
        <v>0.1</v>
      </c>
      <c r="AC102" s="2">
        <f>CHOOSE(NseSrc_DataType,SF_NSgamma,'346'!B101,'346'!B101,'346'!B101,'346'!B101,'346'!B101,W102)</f>
        <v>0.1</v>
      </c>
      <c r="AD102" s="2">
        <f>CHOOSE(NseSrc_DataType,SF_GamCold,'346'!B101,'346'!B101,'346'!B101,'346'!B101,'346'!B101,X102)</f>
        <v>1</v>
      </c>
    </row>
    <row r="103" spans="1:30">
      <c r="S103" s="2">
        <f t="shared" si="18"/>
        <v>98</v>
      </c>
      <c r="T103" s="2">
        <f t="shared" si="17"/>
        <v>26.5001</v>
      </c>
      <c r="U103" s="2">
        <v>15.5</v>
      </c>
      <c r="V103" s="2">
        <v>0.1</v>
      </c>
      <c r="W103" s="2">
        <v>0.1</v>
      </c>
      <c r="X103" s="2">
        <v>0.04</v>
      </c>
      <c r="AA103" s="2">
        <f>CHOOSE(NseSrc_DataType,SF_ENR,'346'!C102,'346'!C102,'346'!C102,'346'!C102,'346'!C102,U103)</f>
        <v>5</v>
      </c>
      <c r="AB103" s="2">
        <f t="shared" si="23"/>
        <v>0.1</v>
      </c>
      <c r="AC103" s="2">
        <f>CHOOSE(NseSrc_DataType,SF_NSgamma,'346'!B102,'346'!B102,'346'!B102,'346'!B102,'346'!B102,W103)</f>
        <v>0.1</v>
      </c>
      <c r="AD103" s="2">
        <f>CHOOSE(NseSrc_DataType,SF_GamCold,'346'!B102,'346'!B102,'346'!B102,'346'!B102,'346'!B102,X103)</f>
        <v>1</v>
      </c>
    </row>
    <row r="104" spans="1:30">
      <c r="S104" s="2">
        <f t="shared" si="18"/>
        <v>99</v>
      </c>
      <c r="T104" s="2">
        <f t="shared" si="17"/>
        <v>26.5001</v>
      </c>
      <c r="U104" s="2">
        <v>15.5</v>
      </c>
      <c r="V104" s="2">
        <v>0.1</v>
      </c>
      <c r="W104" s="2">
        <v>0.1</v>
      </c>
      <c r="X104" s="2">
        <v>0.04</v>
      </c>
      <c r="AA104" s="2">
        <f>CHOOSE(NseSrc_DataType,SF_ENR,'346'!C103,'346'!C103,'346'!C103,'346'!C103,'346'!C103,U104)</f>
        <v>5</v>
      </c>
      <c r="AB104" s="2">
        <f t="shared" si="23"/>
        <v>0.1</v>
      </c>
      <c r="AC104" s="2">
        <f>CHOOSE(NseSrc_DataType,SF_NSgamma,'346'!B103,'346'!B103,'346'!B103,'346'!B103,'346'!B103,W104)</f>
        <v>0.1</v>
      </c>
      <c r="AD104" s="2">
        <f>CHOOSE(NseSrc_DataType,SF_GamCold,'346'!B103,'346'!B103,'346'!B103,'346'!B103,'346'!B103,X104)</f>
        <v>1</v>
      </c>
    </row>
    <row r="105" spans="1:30">
      <c r="S105" s="2">
        <f t="shared" si="18"/>
        <v>100</v>
      </c>
      <c r="T105" s="2">
        <f t="shared" si="17"/>
        <v>26.5001</v>
      </c>
      <c r="U105" s="2">
        <v>15.5</v>
      </c>
      <c r="V105" s="2">
        <v>0.1</v>
      </c>
      <c r="W105" s="2">
        <v>0.1</v>
      </c>
      <c r="X105" s="2">
        <v>0.04</v>
      </c>
      <c r="AA105" s="2">
        <f>CHOOSE(NseSrc_DataType,SF_ENR,'346'!C104,'346'!C104,'346'!C104,'346'!C104,'346'!C104,U105)</f>
        <v>5</v>
      </c>
      <c r="AB105" s="2">
        <f t="shared" si="23"/>
        <v>0.1</v>
      </c>
      <c r="AC105" s="2">
        <f>CHOOSE(NseSrc_DataType,SF_NSgamma,'346'!B104,'346'!B104,'346'!B104,'346'!B104,'346'!B104,W105)</f>
        <v>0.1</v>
      </c>
      <c r="AD105" s="2">
        <f>CHOOSE(NseSrc_DataType,SF_GamCold,'346'!B104,'346'!B104,'346'!B104,'346'!B104,'346'!B104,X105)</f>
        <v>1</v>
      </c>
    </row>
    <row r="106" spans="1:30">
      <c r="S106" s="2">
        <f t="shared" si="18"/>
        <v>101</v>
      </c>
      <c r="T106" s="2">
        <f t="shared" si="17"/>
        <v>26.5001</v>
      </c>
      <c r="U106" s="2">
        <v>15.5</v>
      </c>
      <c r="V106" s="2">
        <v>0.1</v>
      </c>
      <c r="W106" s="2">
        <v>0.1</v>
      </c>
      <c r="X106" s="2">
        <v>0.04</v>
      </c>
      <c r="AA106" s="2">
        <f>CHOOSE(NseSrc_DataType,SF_ENR,'346'!C105,'346'!C105,'346'!C105,'346'!C105,'346'!C105,U106)</f>
        <v>5</v>
      </c>
      <c r="AB106" s="2">
        <f t="shared" si="23"/>
        <v>0.1</v>
      </c>
      <c r="AC106" s="2">
        <f>CHOOSE(NseSrc_DataType,SF_NSgamma,'346'!B105,'346'!B105,'346'!B105,'346'!B105,'346'!B105,W106)</f>
        <v>0.1</v>
      </c>
      <c r="AD106" s="2">
        <f>CHOOSE(NseSrc_DataType,SF_GamCold,'346'!B105,'346'!B105,'346'!B105,'346'!B105,'346'!B105,X106)</f>
        <v>1</v>
      </c>
    </row>
    <row r="107" spans="1:30">
      <c r="S107" s="2">
        <f t="shared" si="18"/>
        <v>102</v>
      </c>
      <c r="T107" s="2">
        <f t="shared" si="17"/>
        <v>26.5001</v>
      </c>
      <c r="U107" s="2">
        <f>U106</f>
        <v>15.5</v>
      </c>
      <c r="V107" s="2">
        <f>V106</f>
        <v>0.1</v>
      </c>
      <c r="W107" s="2">
        <f>W106</f>
        <v>0.1</v>
      </c>
      <c r="X107" s="2">
        <f>X106</f>
        <v>0.04</v>
      </c>
      <c r="AA107" s="2">
        <f>CHOOSE(NseSrc_DataType,SF_ENR,'346'!C106,'346'!C106,'346'!C106,'346'!C106,'346'!C106,U107)</f>
        <v>5</v>
      </c>
      <c r="AB107" s="2">
        <f t="shared" si="23"/>
        <v>0.1</v>
      </c>
      <c r="AC107" s="2">
        <f>CHOOSE(NseSrc_DataType,SF_NSgamma,'346'!B106,'346'!B106,'346'!B106,'346'!B106,'346'!B106,W107)</f>
        <v>0.1</v>
      </c>
      <c r="AD107" s="2">
        <f>CHOOSE(NseSrc_DataType,SF_GamCold,'346'!B106,'346'!B106,'346'!B106,'346'!B106,'346'!B106,X107)</f>
        <v>1</v>
      </c>
    </row>
  </sheetData>
  <sheetProtection algorithmName="SHA-512" hashValue="gLCONkQ5V6OBpEQtIMOvWnYWEfM4v8hnCRqYvDoODLdjADUrQa6s8GtHchCzxxfC1FncMR0tvc6vUZanq4qGUA==" saltValue="nS+nBL1Ik31Xi5IuUYX9zw==" spinCount="100000" sheet="1" objects="1" scenarios="1"/>
  <mergeCells count="1">
    <mergeCell ref="A2:I2"/>
  </mergeCells>
  <conditionalFormatting sqref="T6:AD107">
    <cfRule type="expression" dxfId="19" priority="1">
      <formula>$S6&gt;NumPoints</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2:BZ106"/>
  <sheetViews>
    <sheetView topLeftCell="A7" workbookViewId="0">
      <selection activeCell="AJ7" sqref="AJ5:AJ106"/>
    </sheetView>
  </sheetViews>
  <sheetFormatPr defaultColWidth="8.81640625" defaultRowHeight="14.5"/>
  <cols>
    <col min="1" max="1" width="13.54296875" style="4" customWidth="1"/>
    <col min="2" max="2" width="10.26953125" style="4" customWidth="1"/>
    <col min="3" max="3" width="8.1796875" style="4" customWidth="1"/>
    <col min="4" max="7" width="7.453125" style="4" customWidth="1"/>
    <col min="8" max="9" width="8.26953125" style="88" customWidth="1"/>
    <col min="10" max="10" width="9" style="4" customWidth="1"/>
    <col min="11" max="11" width="9.453125" style="4" customWidth="1"/>
    <col min="12" max="12" width="11.26953125" style="4" customWidth="1"/>
    <col min="13" max="13" width="10.26953125" style="88" customWidth="1"/>
    <col min="14" max="14" width="11.7265625" style="4" customWidth="1"/>
    <col min="15" max="15" width="10.26953125" style="4" customWidth="1"/>
    <col min="16" max="16" width="7.453125" style="4" customWidth="1"/>
    <col min="17" max="17" width="9.1796875" style="86" customWidth="1"/>
    <col min="18" max="21" width="10" style="86" customWidth="1"/>
    <col min="22" max="22" width="13.26953125" style="86" customWidth="1"/>
    <col min="23" max="27" width="10" style="86" customWidth="1"/>
    <col min="28" max="29" width="7.453125" style="4" customWidth="1"/>
    <col min="30" max="30" width="8.7265625" style="4" customWidth="1"/>
    <col min="31" max="31" width="7.453125" style="4" customWidth="1"/>
    <col min="32" max="32" width="10.453125" style="4" customWidth="1"/>
    <col min="33" max="36" width="7.453125" style="4" customWidth="1"/>
    <col min="37" max="37" width="6.81640625" style="4" customWidth="1"/>
    <col min="38" max="59" width="8.81640625" style="4" customWidth="1"/>
    <col min="60" max="60" width="10" style="4" customWidth="1"/>
    <col min="61" max="61" width="8.81640625" style="4"/>
    <col min="62" max="62" width="6.26953125" style="4" customWidth="1"/>
    <col min="63" max="63" width="7.7265625" style="163" customWidth="1"/>
    <col min="64" max="64" width="7.7265625" style="4" customWidth="1"/>
    <col min="65" max="65" width="10.1796875" style="4" customWidth="1"/>
    <col min="66" max="66" width="11" style="4" customWidth="1"/>
    <col min="67" max="73" width="9.1796875" style="4" customWidth="1"/>
    <col min="74" max="74" width="10.7265625" style="4" customWidth="1"/>
    <col min="75" max="75" width="8.81640625" style="4" customWidth="1"/>
    <col min="76" max="76" width="7.26953125" style="4" customWidth="1"/>
    <col min="77" max="77" width="7.81640625" style="4" customWidth="1"/>
    <col min="78" max="78" width="8.54296875" style="4" customWidth="1"/>
    <col min="79" max="79" width="9" style="4" customWidth="1"/>
    <col min="80" max="80" width="14.1796875" style="4" customWidth="1"/>
    <col min="81" max="16384" width="8.81640625" style="4"/>
  </cols>
  <sheetData>
    <row r="2" spans="1:78">
      <c r="B2" s="4" t="s">
        <v>28</v>
      </c>
      <c r="G2" s="4" t="s">
        <v>164</v>
      </c>
      <c r="J2" s="4" t="s">
        <v>162</v>
      </c>
      <c r="S2" s="4" t="s">
        <v>212</v>
      </c>
      <c r="T2" s="4"/>
      <c r="U2" s="4"/>
      <c r="V2" s="88"/>
      <c r="W2" s="4"/>
      <c r="X2" s="4"/>
      <c r="Y2" s="4">
        <f>(NseMeas!H5*S5/(NseMeas!J5*U5))</f>
        <v>84577058.647534505</v>
      </c>
      <c r="BH2" s="4" t="s">
        <v>355</v>
      </c>
      <c r="BI2" s="4" t="s">
        <v>356</v>
      </c>
      <c r="BJ2" s="4" t="s">
        <v>29</v>
      </c>
      <c r="BN2" s="4" t="s">
        <v>36</v>
      </c>
      <c r="BR2" s="4" t="s">
        <v>161</v>
      </c>
      <c r="BV2" s="4" t="s">
        <v>31</v>
      </c>
    </row>
    <row r="3" spans="1:78">
      <c r="H3" s="88" t="s">
        <v>165</v>
      </c>
      <c r="I3" s="88" t="b">
        <f>OR(I5:I106)</f>
        <v>0</v>
      </c>
      <c r="S3" s="4"/>
      <c r="T3" s="4"/>
      <c r="U3" s="4"/>
      <c r="V3" s="88"/>
      <c r="W3" s="4"/>
      <c r="X3" s="4"/>
      <c r="Y3" s="4"/>
      <c r="AC3" s="4" t="s">
        <v>73</v>
      </c>
      <c r="AF3" s="4" t="s">
        <v>74</v>
      </c>
      <c r="BH3" s="4" t="s">
        <v>312</v>
      </c>
      <c r="BI3" s="4" t="s">
        <v>312</v>
      </c>
      <c r="BJ3" s="4" t="s">
        <v>368</v>
      </c>
      <c r="BK3" s="163" t="s">
        <v>367</v>
      </c>
      <c r="BL3" s="4" t="s">
        <v>366</v>
      </c>
      <c r="BM3" s="4" t="s">
        <v>14</v>
      </c>
      <c r="BN3" s="4" t="s">
        <v>368</v>
      </c>
      <c r="BO3" s="4" t="s">
        <v>367</v>
      </c>
      <c r="BP3" s="4" t="s">
        <v>366</v>
      </c>
      <c r="BQ3" s="4" t="s">
        <v>14</v>
      </c>
      <c r="BR3" s="4" t="s">
        <v>368</v>
      </c>
      <c r="BS3" s="4" t="s">
        <v>367</v>
      </c>
      <c r="BT3" s="4" t="s">
        <v>366</v>
      </c>
      <c r="BU3" s="4" t="s">
        <v>14</v>
      </c>
      <c r="BV3" s="4" t="s">
        <v>32</v>
      </c>
      <c r="BW3" s="4" t="s">
        <v>33</v>
      </c>
      <c r="BX3" s="4" t="s">
        <v>34</v>
      </c>
      <c r="BY3" s="4" t="s">
        <v>35</v>
      </c>
      <c r="BZ3" s="4" t="s">
        <v>14</v>
      </c>
    </row>
    <row r="4" spans="1:78">
      <c r="A4" s="4" t="s">
        <v>5</v>
      </c>
      <c r="B4" s="4" t="s">
        <v>27</v>
      </c>
      <c r="C4" s="4" t="s">
        <v>37</v>
      </c>
      <c r="D4" s="4" t="s">
        <v>343</v>
      </c>
      <c r="E4" s="4" t="s">
        <v>132</v>
      </c>
      <c r="F4" s="4" t="s">
        <v>133</v>
      </c>
      <c r="G4" s="4" t="s">
        <v>163</v>
      </c>
      <c r="H4" s="88" t="s">
        <v>53</v>
      </c>
      <c r="I4" s="4" t="s">
        <v>159</v>
      </c>
      <c r="J4" s="4" t="s">
        <v>134</v>
      </c>
      <c r="K4" s="4" t="s">
        <v>135</v>
      </c>
      <c r="L4" s="4" t="s">
        <v>136</v>
      </c>
      <c r="M4" s="88" t="s">
        <v>137</v>
      </c>
      <c r="N4" s="4" t="s">
        <v>138</v>
      </c>
      <c r="O4" s="4" t="s">
        <v>139</v>
      </c>
      <c r="P4" s="4" t="s">
        <v>140</v>
      </c>
      <c r="Q4" s="86" t="s">
        <v>141</v>
      </c>
      <c r="R4" s="86" t="s">
        <v>142</v>
      </c>
      <c r="S4" s="4" t="s">
        <v>134</v>
      </c>
      <c r="T4" s="4" t="s">
        <v>135</v>
      </c>
      <c r="U4" s="4" t="s">
        <v>136</v>
      </c>
      <c r="V4" s="88" t="s">
        <v>137</v>
      </c>
      <c r="W4" s="4" t="s">
        <v>138</v>
      </c>
      <c r="X4" s="4" t="s">
        <v>139</v>
      </c>
      <c r="Y4" s="4" t="s">
        <v>140</v>
      </c>
      <c r="Z4" s="86" t="s">
        <v>141</v>
      </c>
      <c r="AA4" s="86" t="s">
        <v>142</v>
      </c>
      <c r="AC4" s="4" t="s">
        <v>70</v>
      </c>
      <c r="AD4" s="4" t="s">
        <v>71</v>
      </c>
      <c r="AE4" s="4" t="s">
        <v>72</v>
      </c>
      <c r="AF4" s="4" t="s">
        <v>70</v>
      </c>
      <c r="AG4" s="4" t="s">
        <v>71</v>
      </c>
      <c r="AH4" s="4" t="s">
        <v>72</v>
      </c>
      <c r="AI4" s="4" t="s">
        <v>171</v>
      </c>
      <c r="AJ4" s="4" t="s">
        <v>83</v>
      </c>
      <c r="AK4" s="4" t="s">
        <v>15</v>
      </c>
      <c r="AL4" s="4">
        <v>1</v>
      </c>
      <c r="AM4" s="4">
        <f>AL4+1</f>
        <v>2</v>
      </c>
      <c r="AN4" s="4">
        <f t="shared" ref="AN4:BF4" si="0">AM4+1</f>
        <v>3</v>
      </c>
      <c r="AO4" s="4">
        <f t="shared" si="0"/>
        <v>4</v>
      </c>
      <c r="AP4" s="4">
        <f t="shared" si="0"/>
        <v>5</v>
      </c>
      <c r="AQ4" s="4">
        <f t="shared" si="0"/>
        <v>6</v>
      </c>
      <c r="AR4" s="4">
        <f t="shared" si="0"/>
        <v>7</v>
      </c>
      <c r="AS4" s="4">
        <f t="shared" si="0"/>
        <v>8</v>
      </c>
      <c r="AT4" s="4">
        <f t="shared" si="0"/>
        <v>9</v>
      </c>
      <c r="AU4" s="4">
        <f t="shared" si="0"/>
        <v>10</v>
      </c>
      <c r="AV4" s="4">
        <f t="shared" si="0"/>
        <v>11</v>
      </c>
      <c r="AW4" s="4">
        <f t="shared" si="0"/>
        <v>12</v>
      </c>
      <c r="AX4" s="4">
        <f t="shared" si="0"/>
        <v>13</v>
      </c>
      <c r="AY4" s="4">
        <f t="shared" si="0"/>
        <v>14</v>
      </c>
      <c r="AZ4" s="4">
        <f t="shared" si="0"/>
        <v>15</v>
      </c>
      <c r="BA4" s="4">
        <f t="shared" si="0"/>
        <v>16</v>
      </c>
      <c r="BB4" s="4">
        <f t="shared" si="0"/>
        <v>17</v>
      </c>
      <c r="BC4" s="4">
        <f t="shared" si="0"/>
        <v>18</v>
      </c>
      <c r="BD4" s="4">
        <f t="shared" si="0"/>
        <v>19</v>
      </c>
      <c r="BE4" s="4">
        <f t="shared" si="0"/>
        <v>20</v>
      </c>
      <c r="BF4" s="4">
        <f t="shared" si="0"/>
        <v>21</v>
      </c>
      <c r="BH4" s="4">
        <v>8.9999999999999996E-7</v>
      </c>
      <c r="BI4" s="4">
        <v>2E-3</v>
      </c>
      <c r="BJ4" s="4">
        <v>0</v>
      </c>
      <c r="BK4" s="163">
        <v>-130</v>
      </c>
      <c r="BL4" s="4">
        <v>-148</v>
      </c>
      <c r="BM4" s="4">
        <f t="shared" ref="BM4" si="1">CHOOSE(FieldFoxType,BJ4,BK4,BL4)</f>
        <v>-148</v>
      </c>
      <c r="BN4" s="162">
        <v>3</v>
      </c>
      <c r="BO4" s="162">
        <v>3</v>
      </c>
      <c r="BP4" s="162">
        <v>3</v>
      </c>
      <c r="BQ4" s="4">
        <f t="shared" ref="BQ4" si="2">CHOOSE(FieldFoxType,BN4,BO4,BP4)</f>
        <v>3</v>
      </c>
      <c r="BR4" s="4">
        <v>20</v>
      </c>
      <c r="BS4" s="4">
        <v>20</v>
      </c>
      <c r="BT4" s="4">
        <v>20</v>
      </c>
      <c r="BU4" s="4">
        <f t="shared" ref="BU4" si="3">CHOOSE(FieldFoxType,BR4,BS4,BT4)</f>
        <v>20</v>
      </c>
      <c r="BV4" s="4">
        <v>3570000</v>
      </c>
      <c r="BW4" s="4">
        <v>1500000</v>
      </c>
      <c r="BX4" s="4">
        <v>750000</v>
      </c>
      <c r="BY4" s="4">
        <v>250000</v>
      </c>
      <c r="BZ4" s="4">
        <f>CHOOSE(BWsetting,FieldFox!BV4,FieldFox!BW4,FieldFox!BX4,FieldFox!BY4)</f>
        <v>3570000</v>
      </c>
    </row>
    <row r="5" spans="1:78">
      <c r="A5" s="4">
        <f>StartFreqGHz</f>
        <v>0.1</v>
      </c>
      <c r="B5" s="4">
        <f>CHOOSE($AK5,$BM$4,$BM$5,$BM$6,$BM$7,$BM$8,$BM$9,$BM$10,$BM$11,$BM$12,$BM$13,$BM$14,$BM$15,$BM$16,$BM$17,$BM$18,$BM$19,$BM$20,$BM$21,$BM$22,$BM$23,$BM$24)</f>
        <v>-163</v>
      </c>
      <c r="C5" s="4">
        <f>CHOOSE($AK5,$BQ$4,$BQ$5,$BQ$6,$BQ$7,$BQ$8,$BQ$9,$BQ$10,$BQ$11,$BQ$12,$BQ$13,$BQ$14,$BQ$15,$BQ$16,$BQ$17,$BQ$18,$BQ$19,$BQ$20,$BQ$21,$BQ$22,$BQ$23,$BQ$24)</f>
        <v>1.7</v>
      </c>
      <c r="D5" s="4">
        <f>(C5-1)/(C5+1)</f>
        <v>0.25925925925925924</v>
      </c>
      <c r="E5" s="86">
        <f>NseMeas!H5</f>
        <v>438.4470651377784</v>
      </c>
      <c r="F5" s="4">
        <f t="shared" ref="F5" si="4">10*LOG10((E5+T_0)/T_0)</f>
        <v>4.0000000000000009</v>
      </c>
      <c r="G5" s="4">
        <f>CHOOSE($AK5,$BU$4,$BU$5,$BU$6,$BU$7,$BU$8,$BU$9,$BU$10,$BU$11,$BU$12,$BU$13,$BU$14,$BU$15,$BU$16,$BU$17,$BU$18,$BU$19,$BU$20,$BU$21,$BU$22,$BU$23,$BU$24)</f>
        <v>20</v>
      </c>
      <c r="H5" s="88">
        <f>10*LOG10(P1dbBWghz*1000000000*NseMeas!J5/NseMeas!BW)</f>
        <v>-35.514213474281796</v>
      </c>
      <c r="I5" s="4" t="b">
        <f>(H5&gt;=(G5-10))</f>
        <v>0</v>
      </c>
      <c r="J5" s="87">
        <f>MAX(NseMeas!T5,K5/1000)</f>
        <v>4010234513.6494141</v>
      </c>
      <c r="K5" s="87">
        <f>NseMeas!S5</f>
        <v>8960903790.7757225</v>
      </c>
      <c r="L5" s="87">
        <f>NseMeas!X5</f>
        <v>4950669277.1263094</v>
      </c>
      <c r="M5" s="88">
        <f t="shared" ref="M5:M36" si="5">T_0*(10^((F5+MeasJitterGoal)/10)-1)-E5</f>
        <v>43.163202203876551</v>
      </c>
      <c r="N5" s="87">
        <f>4*K5*NseMeas!K5*Jitter1H1s/SQRT($BZ$4)</f>
        <v>2.2865914311539997</v>
      </c>
      <c r="O5" s="4">
        <f>MIN(MeasMaxTime,MAX((N5/M5)^2,0.2))</f>
        <v>0.2</v>
      </c>
      <c r="P5" s="4">
        <f t="shared" ref="P5:P36" si="6">MIN(MeasMaxTime/2, O5/2)</f>
        <v>0.1</v>
      </c>
      <c r="Q5" s="86">
        <f>MAX(0.1,P5/(1+(NseMeas!J5*J5/(NseMeas!L5*L5))))</f>
        <v>0.1</v>
      </c>
      <c r="R5" s="86">
        <f>MAX(0.1,P5/(1+((NseMeas!L5*L5)/(NseMeas!J5*J5))))</f>
        <v>0.1</v>
      </c>
      <c r="S5" s="87">
        <f>MAX(Calibration!Q5,T5/1000)</f>
        <v>6.4485344474614736E-2</v>
      </c>
      <c r="T5" s="87">
        <f>Calibration!P5</f>
        <v>1.0644853444746147</v>
      </c>
      <c r="U5" s="87">
        <f>ABS(Calibration!S5)</f>
        <v>1</v>
      </c>
      <c r="V5" s="88">
        <f>T_0*(10^((O5+DashBoard!$N$6)/10)-1)-N5</f>
        <v>48.433699501309562</v>
      </c>
      <c r="W5" s="87">
        <f>4*T5*NseMeas!T5*Jitter1H1s/SQRT($BZ$4)</f>
        <v>7229784.0813768897</v>
      </c>
      <c r="X5" s="4">
        <f>MAX((W5/V5)^2,0.2)</f>
        <v>22282061498.725189</v>
      </c>
      <c r="Y5" s="4">
        <f>MIN(DashBoard!$N$5/2, X5/2)</f>
        <v>5.5</v>
      </c>
      <c r="Z5" s="86">
        <f>MAX(0.1,Y5/(1+(Calibration!H5*S5/(Calibration!J5*U5))))</f>
        <v>1.0498558539710321</v>
      </c>
      <c r="AA5" s="86">
        <f>MAX(0.1,Y5/(1+((Calibration!J5*U5)/(Calibration!H5*S5))))</f>
        <v>4.4501441460289675</v>
      </c>
      <c r="AC5" s="4">
        <f t="shared" ref="AC5:AC36" si="7">IF(CalIntegrationType=1,FixedMeasTimeUC/3,AA5)</f>
        <v>4.4501441460289675</v>
      </c>
      <c r="AD5" s="4">
        <f t="shared" ref="AD5:AD36" si="8">IF(CalIntegrationType=1,FixedMeasTimeUC/3,Y5)</f>
        <v>5.5</v>
      </c>
      <c r="AE5" s="4">
        <f t="shared" ref="AE5:AE36" si="9">IF(CalIntegrationType=1,FixedMeasTimeUC/3,Z5)</f>
        <v>1.0498558539710321</v>
      </c>
      <c r="AF5" s="4">
        <f t="shared" ref="AF5:AF36" si="10">IF(IntegrationType=1,FixedMeasTime/3,R5)</f>
        <v>0.1</v>
      </c>
      <c r="AG5" s="4">
        <f t="shared" ref="AG5:AG36" si="11">IF(IntegrationType=1,FixedMeasTime/3,P5)</f>
        <v>0.1</v>
      </c>
      <c r="AH5" s="4">
        <f t="shared" ref="AH5:AH36" si="12">IF(IntegrationType=1,FixedMeasTime/3,P5)</f>
        <v>0.1</v>
      </c>
      <c r="AI5" s="4">
        <f>SUM(AF5:AH5)</f>
        <v>0.30000000000000004</v>
      </c>
      <c r="AJ5" s="4">
        <f>B5+173.98+2.51</f>
        <v>13.48999999999999</v>
      </c>
      <c r="AK5" s="4">
        <f>SUM(AL5:BF5)</f>
        <v>4</v>
      </c>
      <c r="AL5" s="4">
        <f t="shared" ref="AL5:AL68" si="13">1*AND($A5&gt;=$BH$4,$A5&lt;$BI$4)</f>
        <v>0</v>
      </c>
      <c r="AM5" s="4">
        <f>2*AND($A5&gt;=$BH$5,$A5&lt;$BI$5)</f>
        <v>0</v>
      </c>
      <c r="AN5" s="4">
        <f>3*AND($A5&gt;=$BH$6,$A5&lt;$BI$6)</f>
        <v>0</v>
      </c>
      <c r="AO5" s="4">
        <f>4*AND($A5&gt;=$BH$7,$A5&lt;$BI$7)</f>
        <v>4</v>
      </c>
      <c r="AP5" s="4">
        <f>5*AND($A5&gt;=$BH$8,$A5&lt;$BI$8)</f>
        <v>0</v>
      </c>
      <c r="AQ5" s="4">
        <f>6*AND($A5&gt;=$BH$9,$A5&lt;$BI$9)</f>
        <v>0</v>
      </c>
      <c r="AR5" s="4">
        <f>7*AND($A5&gt;=$BH$10,$A5&lt;$BI$10)</f>
        <v>0</v>
      </c>
      <c r="AS5" s="4">
        <f>8*AND($A5&gt;=$BH$11,$A5&lt;$BI$11)</f>
        <v>0</v>
      </c>
      <c r="AT5" s="4">
        <f>9*AND($A5&gt;=$BH$12,$A5&lt;$BI$12)</f>
        <v>0</v>
      </c>
      <c r="AU5" s="4">
        <f>10*AND($A5&gt;=$BH$13,$A5&lt;$BI$13)</f>
        <v>0</v>
      </c>
      <c r="AV5" s="4">
        <f>AV$4*AND($A5&gt;=$BH$14,$A5&lt;$BI$14)</f>
        <v>0</v>
      </c>
      <c r="AW5" s="4">
        <f>AW$4*AND($A5&gt;=$BH$15,$A5&lt;$BI$15)</f>
        <v>0</v>
      </c>
      <c r="AX5" s="4">
        <f>AX$4*AND($A5&gt;=$BH$16,$A5&lt;$BI$16)</f>
        <v>0</v>
      </c>
      <c r="AY5" s="4">
        <f>AY$4*AND($A5&gt;=$BH$17,$A5&lt;$BI$17)</f>
        <v>0</v>
      </c>
      <c r="AZ5" s="4">
        <f>AZ$4*AND($A5&gt;=$BH$18,$A5&lt;$BI$18)</f>
        <v>0</v>
      </c>
      <c r="BA5" s="4">
        <f>BA$4*AND($A5&gt;=$BH$19,$A5&lt;$BI$19)</f>
        <v>0</v>
      </c>
      <c r="BB5" s="4">
        <f>BB$4*AND($A5&gt;=$BH$20,$A5&lt;$BI$20)</f>
        <v>0</v>
      </c>
      <c r="BC5" s="4">
        <f>BC$4*AND($A5&gt;=$BH$21,$A5&lt;$BI$21)</f>
        <v>0</v>
      </c>
      <c r="BD5" s="4">
        <f>BD$4*AND($A5&gt;=$BH$22,$A5&lt;$BI$22)</f>
        <v>0</v>
      </c>
      <c r="BE5" s="4">
        <f>BE$4*AND($A5&gt;=$BH$23,$A5&lt;$BI$23)</f>
        <v>0</v>
      </c>
      <c r="BF5" s="4">
        <f>BF$4*AND($A5&gt;=$BH$24,$A5&lt;$BI$24)</f>
        <v>0</v>
      </c>
      <c r="BH5" s="4">
        <f t="shared" ref="BH5:BH24" si="14">BI4</f>
        <v>2E-3</v>
      </c>
      <c r="BI5" s="4">
        <v>0.01</v>
      </c>
      <c r="BJ5" s="4">
        <v>-154</v>
      </c>
      <c r="BK5" s="163">
        <v>-158</v>
      </c>
      <c r="BL5" s="4">
        <v>-163</v>
      </c>
      <c r="BM5" s="4">
        <f t="shared" ref="BM5:BM24" si="15">CHOOSE(FieldFoxType,BJ5,BK5,BL5)</f>
        <v>-163</v>
      </c>
      <c r="BN5" s="162">
        <v>3</v>
      </c>
      <c r="BO5" s="162">
        <v>3</v>
      </c>
      <c r="BP5" s="162">
        <v>3</v>
      </c>
      <c r="BQ5" s="4">
        <f t="shared" ref="BQ5:BQ24" si="16">CHOOSE(FieldFoxType,BN5,BO5,BP5)</f>
        <v>3</v>
      </c>
      <c r="BR5" s="4">
        <v>20</v>
      </c>
      <c r="BS5" s="4">
        <v>20</v>
      </c>
      <c r="BT5" s="4">
        <v>20</v>
      </c>
      <c r="BU5" s="4">
        <f t="shared" ref="BU5:BU24" si="17">CHOOSE(FieldFoxType,BR5,BS5,BT5)</f>
        <v>20</v>
      </c>
    </row>
    <row r="6" spans="1:78">
      <c r="A6" s="4">
        <f>MIN(StopFreqGHz+0.000001,FieldFox!A5+FreqStep)</f>
        <v>0.628</v>
      </c>
      <c r="B6" s="4">
        <f t="shared" ref="B6:B69" si="18">CHOOSE($AK6,$BM$4,$BM$5,$BM$6,$BM$7,$BM$8,$BM$9,$BM$10,$BM$11,$BM$12,$BM$13,$BM$14,$BM$15,$BM$16,$BM$17,$BM$18,$BM$19,$BM$20,$BM$21,$BM$22,$BM$23,$BM$24)</f>
        <v>-163</v>
      </c>
      <c r="C6" s="4">
        <f t="shared" ref="C6:C69" si="19">CHOOSE($AK6,$BQ$4,$BQ$5,$BQ$6,$BQ$7,$BQ$8,$BQ$9,$BQ$10,$BQ$11,$BQ$12,$BQ$13,$BQ$14,$BQ$15,$BQ$16,$BQ$17,$BQ$18,$BQ$19,$BQ$20,$BQ$21,$BQ$22,$BQ$23,$BQ$24)</f>
        <v>1.7</v>
      </c>
      <c r="D6" s="4">
        <f t="shared" ref="D6:D69" si="20">(C6-1)/(C6+1)</f>
        <v>0.25925925925925924</v>
      </c>
      <c r="E6" s="86">
        <f>NseMeas!H6</f>
        <v>438.4470651377784</v>
      </c>
      <c r="F6" s="4">
        <f t="shared" ref="F6:F69" si="21">10*LOG10((E6+T_0)/T_0)</f>
        <v>4.0000000000000009</v>
      </c>
      <c r="G6" s="4">
        <f t="shared" ref="G6:G69" si="22">CHOOSE($AK6,$BU$4,$BU$5,$BU$6,$BU$7,$BU$8,$BU$9,$BU$10,$BU$11,$BU$12,$BU$13,$BU$14,$BU$15,$BU$16,$BU$17,$BU$18,$BU$19,$BU$20,$BU$21,$BU$22,$BU$23,$BU$24)</f>
        <v>20</v>
      </c>
      <c r="H6" s="88">
        <f>10*LOG10(P1dbBWghz*1000000000*NseMeas!J6/NseMeas!BW)</f>
        <v>-35.377000024477525</v>
      </c>
      <c r="I6" s="4" t="b">
        <f t="shared" ref="I6:I69" si="23">(H6&gt;=(G6-10))</f>
        <v>0</v>
      </c>
      <c r="J6" s="87">
        <f>MAX(NseMeas!T6,K6/1000)</f>
        <v>3885465926.2816887</v>
      </c>
      <c r="K6" s="87">
        <f>NseMeas!S6</f>
        <v>8682092562.78969</v>
      </c>
      <c r="L6" s="87">
        <f>NseMeas!X6</f>
        <v>4796626636.5080013</v>
      </c>
      <c r="M6" s="88">
        <f t="shared" si="5"/>
        <v>43.163202203876551</v>
      </c>
      <c r="N6" s="87">
        <f>4*K6*NseMeas!K6*Jitter1H1s/SQRT($BZ$4)</f>
        <v>2.2865168333095158</v>
      </c>
      <c r="O6" s="4">
        <f t="shared" ref="O6:O36" si="24">MIN(MeasMaxTime,MAX((N6/M6)^2,0.2))</f>
        <v>0.2</v>
      </c>
      <c r="P6" s="4">
        <f t="shared" si="6"/>
        <v>0.1</v>
      </c>
      <c r="Q6" s="86">
        <f>MAX(0.1,P6/(1+(NseMeas!J6*J6/(NseMeas!L6*L6))))</f>
        <v>0.1</v>
      </c>
      <c r="R6" s="86">
        <f>MAX(0.1,P6/(1+((NseMeas!L6*L6)/(NseMeas!J6*J6))))</f>
        <v>0.1</v>
      </c>
      <c r="S6" s="87">
        <f>MAX(Calibration!Q6,T6/1000)</f>
        <v>6.4485344474614736E-2</v>
      </c>
      <c r="T6" s="87">
        <f>Calibration!P6</f>
        <v>1.0644853444746147</v>
      </c>
      <c r="U6" s="87">
        <f>ABS(Calibration!S6)</f>
        <v>1</v>
      </c>
      <c r="V6" s="88">
        <f>T_0*(10^((O6+DashBoard!$N$6)/10)-1)-N6</f>
        <v>48.43377409915405</v>
      </c>
      <c r="W6" s="87">
        <f>4*T6*NseMeas!T6*Jitter1H1s/SQRT($BZ$4)</f>
        <v>7004847.1247633044</v>
      </c>
      <c r="X6" s="4">
        <f>MAX((W6/V6)^2,0.2)</f>
        <v>20917062761.295113</v>
      </c>
      <c r="Y6" s="4">
        <f>MIN(DashBoard!$N$5/2, X6/2)</f>
        <v>5.5</v>
      </c>
      <c r="Z6" s="86">
        <f>MAX(0.1,Y6/(1+(Calibration!H6*S6/(Calibration!J6*U6))))</f>
        <v>1.0236289478878442</v>
      </c>
      <c r="AA6" s="86">
        <f>MAX(0.1,Y6/(1+((Calibration!J6*U6)/(Calibration!H6*S6))))</f>
        <v>4.4763710521121558</v>
      </c>
      <c r="AC6" s="4">
        <f t="shared" si="7"/>
        <v>4.4763710521121558</v>
      </c>
      <c r="AD6" s="4">
        <f t="shared" si="8"/>
        <v>5.5</v>
      </c>
      <c r="AE6" s="4">
        <f t="shared" si="9"/>
        <v>1.0236289478878442</v>
      </c>
      <c r="AF6" s="4">
        <f t="shared" si="10"/>
        <v>0.1</v>
      </c>
      <c r="AG6" s="4">
        <f t="shared" si="11"/>
        <v>0.1</v>
      </c>
      <c r="AH6" s="4">
        <f t="shared" si="12"/>
        <v>0.1</v>
      </c>
      <c r="AI6" s="4">
        <f t="shared" ref="AI6:AI69" si="25">SUM(AF6:AH6)</f>
        <v>0.30000000000000004</v>
      </c>
      <c r="AJ6" s="4">
        <f t="shared" ref="AJ6:AJ69" si="26">B6+173.98+2.51</f>
        <v>13.48999999999999</v>
      </c>
      <c r="AK6" s="4">
        <f>SUM(AL6:BF6)</f>
        <v>5</v>
      </c>
      <c r="AL6" s="4">
        <f t="shared" si="13"/>
        <v>0</v>
      </c>
      <c r="AM6" s="4">
        <f>2*AND($A6&gt;=$BH$5,$A6&lt;$BI$5)</f>
        <v>0</v>
      </c>
      <c r="AN6" s="4">
        <f>3*AND($A6&gt;=$BH$6,$A6&lt;$BI$6)</f>
        <v>0</v>
      </c>
      <c r="AO6" s="4">
        <f>4*AND($A6&gt;=$BH$7,$A6&lt;$BI$7)</f>
        <v>0</v>
      </c>
      <c r="AP6" s="4">
        <f>5*AND($A6&gt;=$BH$8,$A6&lt;$BI$8)</f>
        <v>5</v>
      </c>
      <c r="AQ6" s="4">
        <f>6*AND($A6&gt;=$BH$9,$A6&lt;$BI$9)</f>
        <v>0</v>
      </c>
      <c r="AR6" s="4">
        <f>7*AND($A6&gt;=$BH$10,$A6&lt;$BI$10)</f>
        <v>0</v>
      </c>
      <c r="AS6" s="4">
        <f>8*AND($A6&gt;=$BH$11,$A6&lt;$BI$11)</f>
        <v>0</v>
      </c>
      <c r="AT6" s="4">
        <f>9*AND($A6&gt;=$BH$12,$A6&lt;$BI$12)</f>
        <v>0</v>
      </c>
      <c r="AU6" s="4">
        <f>10*AND($A6&gt;=$BH$13,$A6&lt;$BI$13)</f>
        <v>0</v>
      </c>
      <c r="AV6" s="4">
        <f>AV$4*AND($A6&gt;=$BH$14,$A6&lt;$BI$14)</f>
        <v>0</v>
      </c>
      <c r="AW6" s="4">
        <f>AW$4*AND($A6&gt;=$BH$15,$A6&lt;$BI$15)</f>
        <v>0</v>
      </c>
      <c r="AX6" s="4">
        <f>AX$4*AND($A6&gt;=$BH$16,$A6&lt;$BI$16)</f>
        <v>0</v>
      </c>
      <c r="AY6" s="4">
        <f>AY$4*AND($A6&gt;=$BH$17,$A6&lt;$BI$17)</f>
        <v>0</v>
      </c>
      <c r="AZ6" s="4">
        <f>AZ$4*AND($A6&gt;=$BH$18,$A6&lt;$BI$18)</f>
        <v>0</v>
      </c>
      <c r="BA6" s="4">
        <f>BA$4*AND($A6&gt;=$BH$19,$A6&lt;$BI$19)</f>
        <v>0</v>
      </c>
      <c r="BB6" s="4">
        <f>BB$4*AND($A6&gt;=$BH$20,$A6&lt;$BI$20)</f>
        <v>0</v>
      </c>
      <c r="BC6" s="4">
        <f>BC$4*AND($A6&gt;=$BH$21,$A6&lt;$BI$21)</f>
        <v>0</v>
      </c>
      <c r="BD6" s="4">
        <f>BD$4*AND($A6&gt;=$BH$22,$A6&lt;$BI$22)</f>
        <v>0</v>
      </c>
      <c r="BE6" s="4">
        <f>BE$4*AND($A6&gt;=$BH$23,$A6&lt;$BI$23)</f>
        <v>0</v>
      </c>
      <c r="BF6" s="4">
        <f>BF$4*AND($A6&gt;=$BH$24,$A6&lt;$BI$24)</f>
        <v>0</v>
      </c>
      <c r="BH6" s="4">
        <f t="shared" si="14"/>
        <v>0.01</v>
      </c>
      <c r="BI6" s="4">
        <v>0.1</v>
      </c>
      <c r="BJ6" s="4">
        <v>-154</v>
      </c>
      <c r="BK6" s="163">
        <v>-158</v>
      </c>
      <c r="BL6" s="4">
        <v>-163</v>
      </c>
      <c r="BM6" s="4">
        <f t="shared" si="15"/>
        <v>-163</v>
      </c>
      <c r="BN6" s="163">
        <v>1.7</v>
      </c>
      <c r="BO6" s="163">
        <v>2</v>
      </c>
      <c r="BP6" s="4">
        <v>1.7</v>
      </c>
      <c r="BQ6" s="4">
        <f t="shared" si="16"/>
        <v>1.7</v>
      </c>
      <c r="BR6" s="4">
        <v>20</v>
      </c>
      <c r="BS6" s="4">
        <v>20</v>
      </c>
      <c r="BT6" s="4">
        <v>20</v>
      </c>
      <c r="BU6" s="4">
        <f t="shared" si="17"/>
        <v>20</v>
      </c>
    </row>
    <row r="7" spans="1:78">
      <c r="A7" s="4">
        <f>MIN(StopFreqGHz+0.000001,FieldFox!A6+FreqStep)</f>
        <v>1.1560000000000001</v>
      </c>
      <c r="B7" s="4">
        <f t="shared" si="18"/>
        <v>-163</v>
      </c>
      <c r="C7" s="4">
        <f t="shared" si="19"/>
        <v>1.7</v>
      </c>
      <c r="D7" s="4">
        <f t="shared" si="20"/>
        <v>0.25925925925925924</v>
      </c>
      <c r="E7" s="86">
        <f>NseMeas!H7</f>
        <v>438.4470651377784</v>
      </c>
      <c r="F7" s="4">
        <f t="shared" si="21"/>
        <v>4.0000000000000009</v>
      </c>
      <c r="G7" s="4">
        <f t="shared" si="22"/>
        <v>20</v>
      </c>
      <c r="H7" s="88">
        <f>10*LOG10(P1dbBWghz*1000000000*NseMeas!J7/NseMeas!BW)</f>
        <v>-35.239784504902133</v>
      </c>
      <c r="I7" s="4" t="b">
        <f t="shared" si="23"/>
        <v>0</v>
      </c>
      <c r="J7" s="87">
        <f>MAX(NseMeas!T7,K7/1000)</f>
        <v>3764578846.8165169</v>
      </c>
      <c r="K7" s="87">
        <f>NseMeas!S7</f>
        <v>8411955959.3133574</v>
      </c>
      <c r="L7" s="87">
        <f>NseMeas!X7</f>
        <v>4647377112.4968414</v>
      </c>
      <c r="M7" s="88">
        <f t="shared" si="5"/>
        <v>43.163202203876551</v>
      </c>
      <c r="N7" s="87">
        <f>4*K7*NseMeas!K7*Jitter1H1s/SQRT($BZ$4)</f>
        <v>2.2864445564117086</v>
      </c>
      <c r="O7" s="4">
        <f t="shared" si="24"/>
        <v>0.2</v>
      </c>
      <c r="P7" s="4">
        <f t="shared" si="6"/>
        <v>0.1</v>
      </c>
      <c r="Q7" s="86">
        <f>MAX(0.1,P7/(1+(NseMeas!J7*J7/(NseMeas!L7*L7))))</f>
        <v>0.1</v>
      </c>
      <c r="R7" s="86">
        <f>MAX(0.1,P7/(1+((NseMeas!L7*L7)/(NseMeas!J7*J7))))</f>
        <v>0.1</v>
      </c>
      <c r="S7" s="87">
        <f>MAX(Calibration!Q7,T7/1000)</f>
        <v>6.4485344474614736E-2</v>
      </c>
      <c r="T7" s="87">
        <f>Calibration!P7</f>
        <v>1.0644853444746147</v>
      </c>
      <c r="U7" s="87">
        <f>ABS(Calibration!S7)</f>
        <v>1</v>
      </c>
      <c r="V7" s="88">
        <f>T_0*(10^((O7+DashBoard!$N$6)/10)-1)-N7</f>
        <v>48.433846376051854</v>
      </c>
      <c r="W7" s="87">
        <f>4*T7*NseMeas!T7*Jitter1H1s/SQRT($BZ$4)</f>
        <v>6786907.8796177404</v>
      </c>
      <c r="X7" s="4">
        <f t="shared" ref="X7:X70" si="27">MAX((W7/V7)^2,0.2)</f>
        <v>19635681952.244808</v>
      </c>
      <c r="Y7" s="4">
        <f>MIN(DashBoard!$N$5/2, X7/2)</f>
        <v>5.5</v>
      </c>
      <c r="Z7" s="86">
        <f>MAX(0.1,Y7/(1+(Calibration!H7*S7/(Calibration!J7*U7))))</f>
        <v>0.99789940038111402</v>
      </c>
      <c r="AA7" s="86">
        <f>MAX(0.1,Y7/(1+((Calibration!J7*U7)/(Calibration!H7*S7))))</f>
        <v>4.5021005996188856</v>
      </c>
      <c r="AC7" s="4">
        <f t="shared" si="7"/>
        <v>4.5021005996188856</v>
      </c>
      <c r="AD7" s="4">
        <f t="shared" si="8"/>
        <v>5.5</v>
      </c>
      <c r="AE7" s="4">
        <f t="shared" si="9"/>
        <v>0.99789940038111402</v>
      </c>
      <c r="AF7" s="4">
        <f t="shared" si="10"/>
        <v>0.1</v>
      </c>
      <c r="AG7" s="4">
        <f t="shared" si="11"/>
        <v>0.1</v>
      </c>
      <c r="AH7" s="4">
        <f t="shared" si="12"/>
        <v>0.1</v>
      </c>
      <c r="AI7" s="4">
        <f t="shared" si="25"/>
        <v>0.30000000000000004</v>
      </c>
      <c r="AJ7" s="4">
        <f t="shared" si="26"/>
        <v>13.48999999999999</v>
      </c>
      <c r="AK7" s="4">
        <f t="shared" ref="AK7:AK70" si="28">SUM(AL7:BF7)</f>
        <v>5</v>
      </c>
      <c r="AL7" s="4">
        <f t="shared" si="13"/>
        <v>0</v>
      </c>
      <c r="AM7" s="4">
        <f>2*AND($A7&gt;=$BH$5,$A7&lt;$BI$5)</f>
        <v>0</v>
      </c>
      <c r="AN7" s="4">
        <f>3*AND($A7&gt;=$BH$6,$A7&lt;$BI$6)</f>
        <v>0</v>
      </c>
      <c r="AO7" s="4">
        <f>4*AND($A7&gt;=$BH$7,$A7&lt;$BI$7)</f>
        <v>0</v>
      </c>
      <c r="AP7" s="4">
        <f>5*AND($A7&gt;=$BH$8,$A7&lt;$BI$8)</f>
        <v>5</v>
      </c>
      <c r="AQ7" s="4">
        <f>6*AND($A7&gt;=$BH$9,$A7&lt;$BI$9)</f>
        <v>0</v>
      </c>
      <c r="AR7" s="4">
        <f>7*AND($A7&gt;=$BH$10,$A7&lt;$BI$10)</f>
        <v>0</v>
      </c>
      <c r="AS7" s="4">
        <f>8*AND($A7&gt;=$BH$11,$A7&lt;$BI$11)</f>
        <v>0</v>
      </c>
      <c r="AT7" s="4">
        <f>9*AND($A7&gt;=$BH$12,$A7&lt;$BI$12)</f>
        <v>0</v>
      </c>
      <c r="AU7" s="4">
        <f>10*AND($A7&gt;=$BH$13,$A7&lt;$BI$13)</f>
        <v>0</v>
      </c>
      <c r="AV7" s="4">
        <f>AV$4*AND($A7&gt;=$BH$14,$A7&lt;$BI$14)</f>
        <v>0</v>
      </c>
      <c r="AW7" s="4">
        <f>AW$4*AND($A7&gt;=$BH$15,$A7&lt;$BI$15)</f>
        <v>0</v>
      </c>
      <c r="AX7" s="4">
        <f>AX$4*AND($A7&gt;=$BH$16,$A7&lt;$BI$16)</f>
        <v>0</v>
      </c>
      <c r="AY7" s="4">
        <f>AY$4*AND($A7&gt;=$BH$17,$A7&lt;$BI$17)</f>
        <v>0</v>
      </c>
      <c r="AZ7" s="4">
        <f>AZ$4*AND($A7&gt;=$BH$18,$A7&lt;$BI$18)</f>
        <v>0</v>
      </c>
      <c r="BA7" s="4">
        <f>BA$4*AND($A7&gt;=$BH$19,$A7&lt;$BI$19)</f>
        <v>0</v>
      </c>
      <c r="BB7" s="4">
        <f>BB$4*AND($A7&gt;=$BH$20,$A7&lt;$BI$20)</f>
        <v>0</v>
      </c>
      <c r="BC7" s="4">
        <f>BC$4*AND($A7&gt;=$BH$21,$A7&lt;$BI$21)</f>
        <v>0</v>
      </c>
      <c r="BD7" s="4">
        <f>BD$4*AND($A7&gt;=$BH$22,$A7&lt;$BI$22)</f>
        <v>0</v>
      </c>
      <c r="BE7" s="4">
        <f>BE$4*AND($A7&gt;=$BH$23,$A7&lt;$BI$23)</f>
        <v>0</v>
      </c>
      <c r="BF7" s="4">
        <f>BF$4*AND($A7&gt;=$BH$24,$A7&lt;$BI$24)</f>
        <v>0</v>
      </c>
      <c r="BH7" s="4">
        <f t="shared" si="14"/>
        <v>0.1</v>
      </c>
      <c r="BI7" s="4">
        <v>0.5</v>
      </c>
      <c r="BJ7" s="4">
        <v>-154</v>
      </c>
      <c r="BK7" s="163">
        <v>-158</v>
      </c>
      <c r="BL7" s="4">
        <v>-163</v>
      </c>
      <c r="BM7" s="4">
        <f t="shared" si="15"/>
        <v>-163</v>
      </c>
      <c r="BN7" s="163">
        <v>1.7</v>
      </c>
      <c r="BO7" s="163">
        <v>1.7</v>
      </c>
      <c r="BP7" s="4">
        <v>1.7</v>
      </c>
      <c r="BQ7" s="4">
        <f t="shared" si="16"/>
        <v>1.7</v>
      </c>
      <c r="BR7" s="4">
        <v>20</v>
      </c>
      <c r="BS7" s="4">
        <v>20</v>
      </c>
      <c r="BT7" s="4">
        <v>20</v>
      </c>
      <c r="BU7" s="4">
        <f t="shared" si="17"/>
        <v>20</v>
      </c>
    </row>
    <row r="8" spans="1:78">
      <c r="A8" s="4">
        <f>MIN(StopFreqGHz+0.000001,FieldFox!A7+FreqStep)</f>
        <v>1.6840000000000002</v>
      </c>
      <c r="B8" s="4">
        <f t="shared" si="18"/>
        <v>-163</v>
      </c>
      <c r="C8" s="4">
        <f t="shared" si="19"/>
        <v>1.7</v>
      </c>
      <c r="D8" s="4">
        <f t="shared" si="20"/>
        <v>0.25925925925925924</v>
      </c>
      <c r="E8" s="86">
        <f>NseMeas!H8</f>
        <v>438.4470651377784</v>
      </c>
      <c r="F8" s="4">
        <f t="shared" si="21"/>
        <v>4.0000000000000009</v>
      </c>
      <c r="G8" s="4">
        <f t="shared" si="22"/>
        <v>20</v>
      </c>
      <c r="H8" s="88">
        <f>10*LOG10(P1dbBWghz*1000000000*NseMeas!J8/NseMeas!BW)</f>
        <v>-35.102566979898057</v>
      </c>
      <c r="I8" s="4" t="b">
        <f t="shared" si="23"/>
        <v>0</v>
      </c>
      <c r="J8" s="87">
        <f>MAX(NseMeas!T8,K8/1000)</f>
        <v>3647452544.9290791</v>
      </c>
      <c r="K8" s="87">
        <f>NseMeas!S8</f>
        <v>8150224109.7142687</v>
      </c>
      <c r="L8" s="87">
        <f>NseMeas!X8</f>
        <v>4502771564.7851896</v>
      </c>
      <c r="M8" s="88">
        <f t="shared" si="5"/>
        <v>43.163202203876551</v>
      </c>
      <c r="N8" s="87">
        <f>4*K8*NseMeas!K8*Jitter1H1s/SQRT($BZ$4)</f>
        <v>2.286374528255612</v>
      </c>
      <c r="O8" s="4">
        <f t="shared" si="24"/>
        <v>0.2</v>
      </c>
      <c r="P8" s="4">
        <f t="shared" si="6"/>
        <v>0.1</v>
      </c>
      <c r="Q8" s="86">
        <f>MAX(0.1,P8/(1+(NseMeas!J8*J8/(NseMeas!L8*L8))))</f>
        <v>0.1</v>
      </c>
      <c r="R8" s="86">
        <f>MAX(0.1,P8/(1+((NseMeas!L8*L8)/(NseMeas!J8*J8))))</f>
        <v>0.1</v>
      </c>
      <c r="S8" s="87">
        <f>MAX(Calibration!Q8,T8/1000)</f>
        <v>6.4485344474614736E-2</v>
      </c>
      <c r="T8" s="87">
        <f>Calibration!P8</f>
        <v>1.0644853444746147</v>
      </c>
      <c r="U8" s="87">
        <f>ABS(Calibration!S8)</f>
        <v>1</v>
      </c>
      <c r="V8" s="88">
        <f>T_0*(10^((O8+DashBoard!$N$6)/10)-1)-N8</f>
        <v>48.433916404207949</v>
      </c>
      <c r="W8" s="87">
        <f>4*T8*NseMeas!T8*Jitter1H1s/SQRT($BZ$4)</f>
        <v>6575748.6892975383</v>
      </c>
      <c r="X8" s="4">
        <f t="shared" si="27"/>
        <v>18432796922.784336</v>
      </c>
      <c r="Y8" s="4">
        <f>MIN(DashBoard!$N$5/2, X8/2)</f>
        <v>5.5</v>
      </c>
      <c r="Z8" s="86">
        <f>MAX(0.1,Y8/(1+(Calibration!H8*S8/(Calibration!J8*U8))))</f>
        <v>0.97266568591915559</v>
      </c>
      <c r="AA8" s="86">
        <f>MAX(0.1,Y8/(1+((Calibration!J8*U8)/(Calibration!H8*S8))))</f>
        <v>4.5273343140808446</v>
      </c>
      <c r="AC8" s="4">
        <f t="shared" si="7"/>
        <v>4.5273343140808446</v>
      </c>
      <c r="AD8" s="4">
        <f t="shared" si="8"/>
        <v>5.5</v>
      </c>
      <c r="AE8" s="4">
        <f t="shared" si="9"/>
        <v>0.97266568591915559</v>
      </c>
      <c r="AF8" s="4">
        <f t="shared" si="10"/>
        <v>0.1</v>
      </c>
      <c r="AG8" s="4">
        <f t="shared" si="11"/>
        <v>0.1</v>
      </c>
      <c r="AH8" s="4">
        <f t="shared" si="12"/>
        <v>0.1</v>
      </c>
      <c r="AI8" s="4">
        <f t="shared" si="25"/>
        <v>0.30000000000000004</v>
      </c>
      <c r="AJ8" s="4">
        <f t="shared" si="26"/>
        <v>13.48999999999999</v>
      </c>
      <c r="AK8" s="4">
        <f t="shared" si="28"/>
        <v>5</v>
      </c>
      <c r="AL8" s="4">
        <f t="shared" si="13"/>
        <v>0</v>
      </c>
      <c r="AM8" s="4">
        <f>2*AND($A8&gt;=$BH$5,$A8&lt;$BI$5)</f>
        <v>0</v>
      </c>
      <c r="AN8" s="4">
        <f>3*AND($A8&gt;=$BH$6,$A8&lt;$BI$6)</f>
        <v>0</v>
      </c>
      <c r="AO8" s="4">
        <f>4*AND($A8&gt;=$BH$7,$A8&lt;$BI$7)</f>
        <v>0</v>
      </c>
      <c r="AP8" s="4">
        <f>5*AND($A8&gt;=$BH$8,$A8&lt;$BI$8)</f>
        <v>5</v>
      </c>
      <c r="AQ8" s="4">
        <f>6*AND($A8&gt;=$BH$9,$A8&lt;$BI$9)</f>
        <v>0</v>
      </c>
      <c r="AR8" s="4">
        <f>7*AND($A8&gt;=$BH$10,$A8&lt;$BI$10)</f>
        <v>0</v>
      </c>
      <c r="AS8" s="4">
        <f>8*AND($A8&gt;=$BH$11,$A8&lt;$BI$11)</f>
        <v>0</v>
      </c>
      <c r="AT8" s="4">
        <f>9*AND($A8&gt;=$BH$12,$A8&lt;$BI$12)</f>
        <v>0</v>
      </c>
      <c r="AU8" s="4">
        <f>10*AND($A8&gt;=$BH$13,$A8&lt;$BI$13)</f>
        <v>0</v>
      </c>
      <c r="AV8" s="4">
        <f>AV$4*AND($A8&gt;=$BH$14,$A8&lt;$BI$14)</f>
        <v>0</v>
      </c>
      <c r="AW8" s="4">
        <f>AW$4*AND($A8&gt;=$BH$15,$A8&lt;$BI$15)</f>
        <v>0</v>
      </c>
      <c r="AX8" s="4">
        <f>AX$4*AND($A8&gt;=$BH$16,$A8&lt;$BI$16)</f>
        <v>0</v>
      </c>
      <c r="AY8" s="4">
        <f>AY$4*AND($A8&gt;=$BH$17,$A8&lt;$BI$17)</f>
        <v>0</v>
      </c>
      <c r="AZ8" s="4">
        <f>AZ$4*AND($A8&gt;=$BH$18,$A8&lt;$BI$18)</f>
        <v>0</v>
      </c>
      <c r="BA8" s="4">
        <f>BA$4*AND($A8&gt;=$BH$19,$A8&lt;$BI$19)</f>
        <v>0</v>
      </c>
      <c r="BB8" s="4">
        <f>BB$4*AND($A8&gt;=$BH$20,$A8&lt;$BI$20)</f>
        <v>0</v>
      </c>
      <c r="BC8" s="4">
        <f>BC$4*AND($A8&gt;=$BH$21,$A8&lt;$BI$21)</f>
        <v>0</v>
      </c>
      <c r="BD8" s="4">
        <f>BD$4*AND($A8&gt;=$BH$22,$A8&lt;$BI$22)</f>
        <v>0</v>
      </c>
      <c r="BE8" s="4">
        <f>BE$4*AND($A8&gt;=$BH$23,$A8&lt;$BI$23)</f>
        <v>0</v>
      </c>
      <c r="BF8" s="4">
        <f>BF$4*AND($A8&gt;=$BH$24,$A8&lt;$BI$24)</f>
        <v>0</v>
      </c>
      <c r="BH8" s="4">
        <f t="shared" si="14"/>
        <v>0.5</v>
      </c>
      <c r="BI8" s="4">
        <v>2.1</v>
      </c>
      <c r="BJ8" s="4">
        <v>-154</v>
      </c>
      <c r="BK8" s="163">
        <v>-158</v>
      </c>
      <c r="BL8" s="4">
        <v>-163</v>
      </c>
      <c r="BM8" s="4">
        <f t="shared" si="15"/>
        <v>-163</v>
      </c>
      <c r="BN8" s="4">
        <v>1.7</v>
      </c>
      <c r="BO8" s="4">
        <v>1.5</v>
      </c>
      <c r="BP8" s="4">
        <v>1.7</v>
      </c>
      <c r="BQ8" s="4">
        <f t="shared" si="16"/>
        <v>1.7</v>
      </c>
      <c r="BR8" s="4">
        <v>20</v>
      </c>
      <c r="BS8" s="4">
        <v>20</v>
      </c>
      <c r="BT8" s="4">
        <v>20</v>
      </c>
      <c r="BU8" s="4">
        <f t="shared" si="17"/>
        <v>20</v>
      </c>
    </row>
    <row r="9" spans="1:78">
      <c r="A9" s="4">
        <f>MIN(StopFreqGHz+0.000001,FieldFox!A8+FreqStep)</f>
        <v>2.2120000000000002</v>
      </c>
      <c r="B9" s="4">
        <f t="shared" si="18"/>
        <v>-160</v>
      </c>
      <c r="C9" s="4">
        <f t="shared" si="19"/>
        <v>1.7</v>
      </c>
      <c r="D9" s="4">
        <f t="shared" si="20"/>
        <v>0.25925925925925924</v>
      </c>
      <c r="E9" s="86">
        <f>NseMeas!H9</f>
        <v>438.4470651377784</v>
      </c>
      <c r="F9" s="4">
        <f t="shared" si="21"/>
        <v>4.0000000000000009</v>
      </c>
      <c r="G9" s="4">
        <f t="shared" si="22"/>
        <v>20</v>
      </c>
      <c r="H9" s="88">
        <f>10*LOG10(P1dbBWghz*1000000000*NseMeas!J9/NseMeas!BW)</f>
        <v>-34.963309174956898</v>
      </c>
      <c r="I9" s="4" t="b">
        <f t="shared" si="23"/>
        <v>0</v>
      </c>
      <c r="J9" s="87">
        <f>MAX(NseMeas!T9,K9/1000)</f>
        <v>3533970044.1362977</v>
      </c>
      <c r="K9" s="87">
        <f>NseMeas!S9</f>
        <v>7896635537.7797031</v>
      </c>
      <c r="L9" s="87">
        <f>NseMeas!X9</f>
        <v>4362665493.6434059</v>
      </c>
      <c r="M9" s="88">
        <f t="shared" si="5"/>
        <v>43.163202203876551</v>
      </c>
      <c r="N9" s="87">
        <f>4*K9*NseMeas!K9*Jitter1H1s/SQRT($BZ$4)</f>
        <v>2.2886882510179234</v>
      </c>
      <c r="O9" s="4">
        <f t="shared" si="24"/>
        <v>0.2</v>
      </c>
      <c r="P9" s="4">
        <f t="shared" si="6"/>
        <v>0.1</v>
      </c>
      <c r="Q9" s="86">
        <f>MAX(0.1,P9/(1+(NseMeas!J9*J9/(NseMeas!L9*L9))))</f>
        <v>0.1</v>
      </c>
      <c r="R9" s="86">
        <f>MAX(0.1,P9/(1+((NseMeas!L9*L9)/(NseMeas!J9*J9))))</f>
        <v>0.1</v>
      </c>
      <c r="S9" s="87">
        <f>MAX(Calibration!Q9,T9/1000)</f>
        <v>6.4485344474614736E-2</v>
      </c>
      <c r="T9" s="87">
        <f>Calibration!P9</f>
        <v>1.0644853444746147</v>
      </c>
      <c r="U9" s="87">
        <f>ABS(Calibration!S9)</f>
        <v>1</v>
      </c>
      <c r="V9" s="88">
        <f>T_0*(10^((O9+DashBoard!$N$6)/10)-1)-N9</f>
        <v>48.431602681445639</v>
      </c>
      <c r="W9" s="87">
        <f>4*T9*NseMeas!T9*Jitter1H1s/SQRT($BZ$4)</f>
        <v>6371158.6647107061</v>
      </c>
      <c r="X9" s="4">
        <f t="shared" si="27"/>
        <v>17305301087.861279</v>
      </c>
      <c r="Y9" s="4">
        <f>MIN(DashBoard!$N$5/2, X9/2)</f>
        <v>5.5</v>
      </c>
      <c r="Z9" s="86">
        <f>MAX(0.1,Y9/(1+(Calibration!H9*S9/(Calibration!J9*U9))))</f>
        <v>1.5984217444492539</v>
      </c>
      <c r="AA9" s="86">
        <f>MAX(0.1,Y9/(1+((Calibration!J9*U9)/(Calibration!H9*S9))))</f>
        <v>3.9015782555507461</v>
      </c>
      <c r="AC9" s="4">
        <f t="shared" si="7"/>
        <v>3.9015782555507461</v>
      </c>
      <c r="AD9" s="4">
        <f t="shared" si="8"/>
        <v>5.5</v>
      </c>
      <c r="AE9" s="4">
        <f t="shared" si="9"/>
        <v>1.5984217444492539</v>
      </c>
      <c r="AF9" s="4">
        <f t="shared" si="10"/>
        <v>0.1</v>
      </c>
      <c r="AG9" s="4">
        <f t="shared" si="11"/>
        <v>0.1</v>
      </c>
      <c r="AH9" s="4">
        <f t="shared" si="12"/>
        <v>0.1</v>
      </c>
      <c r="AI9" s="4">
        <f t="shared" si="25"/>
        <v>0.30000000000000004</v>
      </c>
      <c r="AJ9" s="4">
        <f t="shared" si="26"/>
        <v>16.489999999999988</v>
      </c>
      <c r="AK9" s="4">
        <f t="shared" si="28"/>
        <v>6</v>
      </c>
      <c r="AL9" s="4">
        <f t="shared" si="13"/>
        <v>0</v>
      </c>
      <c r="AM9" s="4">
        <f>2*AND($A9&gt;=$BH$5,$A9&lt;$BI$5)</f>
        <v>0</v>
      </c>
      <c r="AN9" s="4">
        <f>3*AND($A9&gt;=$BH$6,$A9&lt;$BI$6)</f>
        <v>0</v>
      </c>
      <c r="AO9" s="4">
        <f>4*AND($A9&gt;=$BH$7,$A9&lt;$BI$7)</f>
        <v>0</v>
      </c>
      <c r="AP9" s="4">
        <f>5*AND($A9&gt;=$BH$8,$A9&lt;$BI$8)</f>
        <v>0</v>
      </c>
      <c r="AQ9" s="4">
        <f>6*AND($A9&gt;=$BH$9,$A9&lt;$BI$9)</f>
        <v>6</v>
      </c>
      <c r="AR9" s="4">
        <f>7*AND($A9&gt;=$BH$10,$A9&lt;$BI$10)</f>
        <v>0</v>
      </c>
      <c r="AS9" s="4">
        <f>8*AND($A9&gt;=$BH$11,$A9&lt;$BI$11)</f>
        <v>0</v>
      </c>
      <c r="AT9" s="4">
        <f>9*AND($A9&gt;=$BH$12,$A9&lt;$BI$12)</f>
        <v>0</v>
      </c>
      <c r="AU9" s="4">
        <f>10*AND($A9&gt;=$BH$13,$A9&lt;$BI$13)</f>
        <v>0</v>
      </c>
      <c r="AV9" s="4">
        <f>AV$4*AND($A9&gt;=$BH$14,$A9&lt;$BI$14)</f>
        <v>0</v>
      </c>
      <c r="AW9" s="4">
        <f>AW$4*AND($A9&gt;=$BH$15,$A9&lt;$BI$15)</f>
        <v>0</v>
      </c>
      <c r="AX9" s="4">
        <f>AX$4*AND($A9&gt;=$BH$16,$A9&lt;$BI$16)</f>
        <v>0</v>
      </c>
      <c r="AY9" s="4">
        <f>AY$4*AND($A9&gt;=$BH$17,$A9&lt;$BI$17)</f>
        <v>0</v>
      </c>
      <c r="AZ9" s="4">
        <f>AZ$4*AND($A9&gt;=$BH$18,$A9&lt;$BI$18)</f>
        <v>0</v>
      </c>
      <c r="BA9" s="4">
        <f>BA$4*AND($A9&gt;=$BH$19,$A9&lt;$BI$19)</f>
        <v>0</v>
      </c>
      <c r="BB9" s="4">
        <f>BB$4*AND($A9&gt;=$BH$20,$A9&lt;$BI$20)</f>
        <v>0</v>
      </c>
      <c r="BC9" s="4">
        <f>BC$4*AND($A9&gt;=$BH$21,$A9&lt;$BI$21)</f>
        <v>0</v>
      </c>
      <c r="BD9" s="4">
        <f>BD$4*AND($A9&gt;=$BH$22,$A9&lt;$BI$22)</f>
        <v>0</v>
      </c>
      <c r="BE9" s="4">
        <f>BE$4*AND($A9&gt;=$BH$23,$A9&lt;$BI$23)</f>
        <v>0</v>
      </c>
      <c r="BF9" s="4">
        <f>BF$4*AND($A9&gt;=$BH$24,$A9&lt;$BI$24)</f>
        <v>0</v>
      </c>
      <c r="BH9" s="4">
        <f t="shared" si="14"/>
        <v>2.1</v>
      </c>
      <c r="BI9" s="4">
        <v>2.6</v>
      </c>
      <c r="BJ9" s="4">
        <v>-154</v>
      </c>
      <c r="BK9" s="163">
        <v>-155</v>
      </c>
      <c r="BL9" s="4">
        <v>-160</v>
      </c>
      <c r="BM9" s="4">
        <f t="shared" si="15"/>
        <v>-160</v>
      </c>
      <c r="BN9" s="4">
        <v>1.7</v>
      </c>
      <c r="BO9" s="4">
        <v>1.5</v>
      </c>
      <c r="BP9" s="4">
        <v>1.7</v>
      </c>
      <c r="BQ9" s="4">
        <f t="shared" si="16"/>
        <v>1.7</v>
      </c>
      <c r="BR9" s="4">
        <v>20</v>
      </c>
      <c r="BS9" s="4">
        <v>20</v>
      </c>
      <c r="BT9" s="4">
        <v>20</v>
      </c>
      <c r="BU9" s="4">
        <f t="shared" si="17"/>
        <v>20</v>
      </c>
    </row>
    <row r="10" spans="1:78">
      <c r="A10" s="4">
        <f>MIN(StopFreqGHz+0.000001,FieldFox!A9+FreqStep)</f>
        <v>2.74</v>
      </c>
      <c r="B10" s="4">
        <f t="shared" si="18"/>
        <v>-162</v>
      </c>
      <c r="C10" s="4">
        <f t="shared" si="19"/>
        <v>1.5</v>
      </c>
      <c r="D10" s="4">
        <f t="shared" si="20"/>
        <v>0.2</v>
      </c>
      <c r="E10" s="86">
        <f>NseMeas!H10</f>
        <v>438.4470651377784</v>
      </c>
      <c r="F10" s="4">
        <f t="shared" si="21"/>
        <v>4.0000000000000009</v>
      </c>
      <c r="G10" s="4">
        <f t="shared" si="22"/>
        <v>20</v>
      </c>
      <c r="H10" s="88">
        <f>10*LOG10(P1dbBWghz*1000000000*NseMeas!J10/NseMeas!BW)</f>
        <v>-34.827612274597477</v>
      </c>
      <c r="I10" s="4" t="b">
        <f t="shared" si="23"/>
        <v>0</v>
      </c>
      <c r="J10" s="87">
        <f>MAX(NseMeas!T10,K10/1000)</f>
        <v>3424018005.1622257</v>
      </c>
      <c r="K10" s="87">
        <f>NseMeas!S10</f>
        <v>7650936900.6880369</v>
      </c>
      <c r="L10" s="87">
        <f>NseMeas!X10</f>
        <v>4226918895.5258098</v>
      </c>
      <c r="M10" s="88">
        <f t="shared" si="5"/>
        <v>43.163202203876551</v>
      </c>
      <c r="N10" s="87">
        <f>4*K10*NseMeas!K10*Jitter1H1s/SQRT($BZ$4)</f>
        <v>2.2868412474734856</v>
      </c>
      <c r="O10" s="4">
        <f t="shared" si="24"/>
        <v>0.2</v>
      </c>
      <c r="P10" s="4">
        <f t="shared" si="6"/>
        <v>0.1</v>
      </c>
      <c r="Q10" s="86">
        <f>MAX(0.1,P10/(1+(NseMeas!J10*J10/(NseMeas!L10*L10))))</f>
        <v>0.1</v>
      </c>
      <c r="R10" s="86">
        <f>MAX(0.1,P10/(1+((NseMeas!L10*L10)/(NseMeas!J10*J10))))</f>
        <v>0.1</v>
      </c>
      <c r="S10" s="87">
        <f>MAX(Calibration!Q10,T10/1000)</f>
        <v>6.4485344474614736E-2</v>
      </c>
      <c r="T10" s="87">
        <f>Calibration!P10</f>
        <v>1.0644853444746147</v>
      </c>
      <c r="U10" s="87">
        <f>ABS(Calibration!S10)</f>
        <v>1</v>
      </c>
      <c r="V10" s="88">
        <f>T_0*(10^((O10+DashBoard!$N$6)/10)-1)-N10</f>
        <v>48.43344968499008</v>
      </c>
      <c r="W10" s="87">
        <f>4*T10*NseMeas!T10*Jitter1H1s/SQRT($BZ$4)</f>
        <v>6172933.4740431737</v>
      </c>
      <c r="X10" s="4">
        <f t="shared" si="27"/>
        <v>16243977804.126255</v>
      </c>
      <c r="Y10" s="4">
        <f>MIN(DashBoard!$N$5/2, X10/2)</f>
        <v>5.5</v>
      </c>
      <c r="Z10" s="86">
        <f>MAX(0.1,Y10/(1+(Calibration!H10*S10/(Calibration!J10*U10))))</f>
        <v>1.1111003086743196</v>
      </c>
      <c r="AA10" s="86">
        <f>MAX(0.1,Y10/(1+((Calibration!J10*U10)/(Calibration!H10*S10))))</f>
        <v>4.3888996913256806</v>
      </c>
      <c r="AC10" s="4">
        <f t="shared" si="7"/>
        <v>4.3888996913256806</v>
      </c>
      <c r="AD10" s="4">
        <f t="shared" si="8"/>
        <v>5.5</v>
      </c>
      <c r="AE10" s="4">
        <f t="shared" si="9"/>
        <v>1.1111003086743196</v>
      </c>
      <c r="AF10" s="4">
        <f t="shared" si="10"/>
        <v>0.1</v>
      </c>
      <c r="AG10" s="4">
        <f t="shared" si="11"/>
        <v>0.1</v>
      </c>
      <c r="AH10" s="4">
        <f t="shared" si="12"/>
        <v>0.1</v>
      </c>
      <c r="AI10" s="4">
        <f t="shared" si="25"/>
        <v>0.30000000000000004</v>
      </c>
      <c r="AJ10" s="4">
        <f t="shared" si="26"/>
        <v>14.48999999999999</v>
      </c>
      <c r="AK10" s="4">
        <f t="shared" si="28"/>
        <v>8</v>
      </c>
      <c r="AL10" s="4">
        <f t="shared" si="13"/>
        <v>0</v>
      </c>
      <c r="AM10" s="4">
        <f t="shared" ref="AM10:AM73" si="29">2*AND($A10&gt;=$BH$5,$A10&lt;$BI$5)</f>
        <v>0</v>
      </c>
      <c r="AN10" s="4">
        <f t="shared" ref="AN10:AN73" si="30">3*AND($A10&gt;=$BH$6,$A10&lt;$BI$6)</f>
        <v>0</v>
      </c>
      <c r="AO10" s="4">
        <f t="shared" ref="AO10:AO73" si="31">4*AND($A10&gt;=$BH$7,$A10&lt;$BI$7)</f>
        <v>0</v>
      </c>
      <c r="AP10" s="4">
        <f t="shared" ref="AP10:AP73" si="32">5*AND($A10&gt;=$BH$8,$A10&lt;$BI$8)</f>
        <v>0</v>
      </c>
      <c r="AQ10" s="4">
        <f t="shared" ref="AQ10:AQ73" si="33">6*AND($A10&gt;=$BH$9,$A10&lt;$BI$9)</f>
        <v>0</v>
      </c>
      <c r="AR10" s="4">
        <f t="shared" ref="AR10:AR73" si="34">7*AND($A10&gt;=$BH$10,$A10&lt;$BI$10)</f>
        <v>0</v>
      </c>
      <c r="AS10" s="4">
        <f t="shared" ref="AS10:AS73" si="35">8*AND($A10&gt;=$BH$11,$A10&lt;$BI$11)</f>
        <v>8</v>
      </c>
      <c r="AT10" s="4">
        <f t="shared" ref="AT10:AT73" si="36">9*AND($A10&gt;=$BH$12,$A10&lt;$BI$12)</f>
        <v>0</v>
      </c>
      <c r="AU10" s="4">
        <f t="shared" ref="AU10:AU73" si="37">10*AND($A10&gt;=$BH$13,$A10&lt;$BI$13)</f>
        <v>0</v>
      </c>
      <c r="AV10" s="4">
        <f t="shared" ref="AV10:AV73" si="38">AV$4*AND($A10&gt;=$BH$14,$A10&lt;$BI$14)</f>
        <v>0</v>
      </c>
      <c r="AW10" s="4">
        <f t="shared" ref="AW10:AW73" si="39">AW$4*AND($A10&gt;=$BH$15,$A10&lt;$BI$15)</f>
        <v>0</v>
      </c>
      <c r="AX10" s="4">
        <f t="shared" ref="AX10:AX73" si="40">AX$4*AND($A10&gt;=$BH$16,$A10&lt;$BI$16)</f>
        <v>0</v>
      </c>
      <c r="AY10" s="4">
        <f t="shared" ref="AY10:AY73" si="41">AY$4*AND($A10&gt;=$BH$17,$A10&lt;$BI$17)</f>
        <v>0</v>
      </c>
      <c r="AZ10" s="4">
        <f t="shared" ref="AZ10:AZ73" si="42">AZ$4*AND($A10&gt;=$BH$18,$A10&lt;$BI$18)</f>
        <v>0</v>
      </c>
      <c r="BA10" s="4">
        <f t="shared" ref="BA10:BA73" si="43">BA$4*AND($A10&gt;=$BH$19,$A10&lt;$BI$19)</f>
        <v>0</v>
      </c>
      <c r="BB10" s="4">
        <f t="shared" ref="BB10:BB73" si="44">BB$4*AND($A10&gt;=$BH$20,$A10&lt;$BI$20)</f>
        <v>0</v>
      </c>
      <c r="BC10" s="4">
        <f t="shared" ref="BC10:BC73" si="45">BC$4*AND($A10&gt;=$BH$21,$A10&lt;$BI$21)</f>
        <v>0</v>
      </c>
      <c r="BD10" s="4">
        <f t="shared" ref="BD10:BD73" si="46">BD$4*AND($A10&gt;=$BH$22,$A10&lt;$BI$22)</f>
        <v>0</v>
      </c>
      <c r="BE10" s="4">
        <f t="shared" ref="BE10:BE73" si="47">BE$4*AND($A10&gt;=$BH$23,$A10&lt;$BI$23)</f>
        <v>0</v>
      </c>
      <c r="BF10" s="4">
        <f t="shared" ref="BF10:BF73" si="48">BF$4*AND($A10&gt;=$BH$24,$A10&lt;$BI$24)</f>
        <v>0</v>
      </c>
      <c r="BH10" s="4">
        <f t="shared" si="14"/>
        <v>2.6</v>
      </c>
      <c r="BI10" s="4">
        <v>2.7</v>
      </c>
      <c r="BJ10" s="4">
        <v>-154</v>
      </c>
      <c r="BK10" s="163">
        <v>-155</v>
      </c>
      <c r="BL10" s="4">
        <v>-162</v>
      </c>
      <c r="BM10" s="4">
        <f t="shared" si="15"/>
        <v>-162</v>
      </c>
      <c r="BN10" s="4">
        <v>1.7</v>
      </c>
      <c r="BO10" s="4">
        <v>1.5</v>
      </c>
      <c r="BP10" s="4">
        <v>1.7</v>
      </c>
      <c r="BQ10" s="4">
        <f t="shared" si="16"/>
        <v>1.7</v>
      </c>
      <c r="BR10" s="4">
        <v>20</v>
      </c>
      <c r="BS10" s="4">
        <v>20</v>
      </c>
      <c r="BT10" s="4">
        <v>20</v>
      </c>
      <c r="BU10" s="4">
        <f t="shared" si="17"/>
        <v>20</v>
      </c>
    </row>
    <row r="11" spans="1:78">
      <c r="A11" s="4">
        <f>MIN(StopFreqGHz+0.000001,FieldFox!A10+FreqStep)</f>
        <v>3.2680000000000002</v>
      </c>
      <c r="B11" s="4">
        <f t="shared" si="18"/>
        <v>-162</v>
      </c>
      <c r="C11" s="4">
        <f t="shared" si="19"/>
        <v>1.5</v>
      </c>
      <c r="D11" s="4">
        <f t="shared" si="20"/>
        <v>0.2</v>
      </c>
      <c r="E11" s="86">
        <f>NseMeas!H11</f>
        <v>438.4470651377784</v>
      </c>
      <c r="F11" s="4">
        <f t="shared" si="21"/>
        <v>4.0000000000000009</v>
      </c>
      <c r="G11" s="4">
        <f t="shared" si="22"/>
        <v>20</v>
      </c>
      <c r="H11" s="88">
        <f>10*LOG10(P1dbBWghz*1000000000*NseMeas!J11/NseMeas!BW)</f>
        <v>-34.690405082098017</v>
      </c>
      <c r="I11" s="4" t="b">
        <f t="shared" si="23"/>
        <v>0</v>
      </c>
      <c r="J11" s="87">
        <f>MAX(NseMeas!T11,K11/1000)</f>
        <v>3317486612.9223661</v>
      </c>
      <c r="K11" s="87">
        <f>NseMeas!S11</f>
        <v>7412882736.0919981</v>
      </c>
      <c r="L11" s="87">
        <f>NseMeas!X11</f>
        <v>4095396123.1696324</v>
      </c>
      <c r="M11" s="88">
        <f t="shared" si="5"/>
        <v>43.163202203876551</v>
      </c>
      <c r="N11" s="87">
        <f>4*K11*NseMeas!K11*Jitter1H1s/SQRT($BZ$4)</f>
        <v>2.2867588762454734</v>
      </c>
      <c r="O11" s="4">
        <f t="shared" si="24"/>
        <v>0.2</v>
      </c>
      <c r="P11" s="4">
        <f t="shared" si="6"/>
        <v>0.1</v>
      </c>
      <c r="Q11" s="86">
        <f>MAX(0.1,P11/(1+(NseMeas!J11*J11/(NseMeas!L11*L11))))</f>
        <v>0.1</v>
      </c>
      <c r="R11" s="86">
        <f>MAX(0.1,P11/(1+((NseMeas!L11*L11)/(NseMeas!J11*J11))))</f>
        <v>0.1</v>
      </c>
      <c r="S11" s="87">
        <f>MAX(Calibration!Q11,T11/1000)</f>
        <v>6.4485344474614736E-2</v>
      </c>
      <c r="T11" s="87">
        <f>Calibration!P11</f>
        <v>1.0644853444746147</v>
      </c>
      <c r="U11" s="87">
        <f>ABS(Calibration!S11)</f>
        <v>1</v>
      </c>
      <c r="V11" s="88">
        <f>T_0*(10^((O11+DashBoard!$N$6)/10)-1)-N11</f>
        <v>48.433532056218091</v>
      </c>
      <c r="W11" s="87">
        <f>4*T11*NseMeas!T11*Jitter1H1s/SQRT($BZ$4)</f>
        <v>5980875.1390103549</v>
      </c>
      <c r="X11" s="4">
        <f t="shared" si="27"/>
        <v>15248853383.92836</v>
      </c>
      <c r="Y11" s="4">
        <f>MIN(DashBoard!$N$5/2, X11/2)</f>
        <v>5.5</v>
      </c>
      <c r="Z11" s="86">
        <f>MAX(0.1,Y11/(1+(Calibration!H11*S11/(Calibration!J11*U11))))</f>
        <v>1.0837510818795681</v>
      </c>
      <c r="AA11" s="86">
        <f>MAX(0.1,Y11/(1+((Calibration!J11*U11)/(Calibration!H11*S11))))</f>
        <v>4.4162489181204325</v>
      </c>
      <c r="AC11" s="4">
        <f t="shared" si="7"/>
        <v>4.4162489181204325</v>
      </c>
      <c r="AD11" s="4">
        <f t="shared" si="8"/>
        <v>5.5</v>
      </c>
      <c r="AE11" s="4">
        <f t="shared" si="9"/>
        <v>1.0837510818795681</v>
      </c>
      <c r="AF11" s="4">
        <f t="shared" si="10"/>
        <v>0.1</v>
      </c>
      <c r="AG11" s="4">
        <f t="shared" si="11"/>
        <v>0.1</v>
      </c>
      <c r="AH11" s="4">
        <f t="shared" si="12"/>
        <v>0.1</v>
      </c>
      <c r="AI11" s="4">
        <f t="shared" si="25"/>
        <v>0.30000000000000004</v>
      </c>
      <c r="AJ11" s="4">
        <f t="shared" si="26"/>
        <v>14.48999999999999</v>
      </c>
      <c r="AK11" s="4">
        <f t="shared" si="28"/>
        <v>9</v>
      </c>
      <c r="AL11" s="4">
        <f t="shared" si="13"/>
        <v>0</v>
      </c>
      <c r="AM11" s="4">
        <f t="shared" si="29"/>
        <v>0</v>
      </c>
      <c r="AN11" s="4">
        <f t="shared" si="30"/>
        <v>0</v>
      </c>
      <c r="AO11" s="4">
        <f t="shared" si="31"/>
        <v>0</v>
      </c>
      <c r="AP11" s="4">
        <f t="shared" si="32"/>
        <v>0</v>
      </c>
      <c r="AQ11" s="4">
        <f t="shared" si="33"/>
        <v>0</v>
      </c>
      <c r="AR11" s="4">
        <f t="shared" si="34"/>
        <v>0</v>
      </c>
      <c r="AS11" s="4">
        <f t="shared" si="35"/>
        <v>0</v>
      </c>
      <c r="AT11" s="4">
        <f t="shared" si="36"/>
        <v>9</v>
      </c>
      <c r="AU11" s="4">
        <f t="shared" si="37"/>
        <v>0</v>
      </c>
      <c r="AV11" s="4">
        <f t="shared" si="38"/>
        <v>0</v>
      </c>
      <c r="AW11" s="4">
        <f t="shared" si="39"/>
        <v>0</v>
      </c>
      <c r="AX11" s="4">
        <f t="shared" si="40"/>
        <v>0</v>
      </c>
      <c r="AY11" s="4">
        <f t="shared" si="41"/>
        <v>0</v>
      </c>
      <c r="AZ11" s="4">
        <f t="shared" si="42"/>
        <v>0</v>
      </c>
      <c r="BA11" s="4">
        <f t="shared" si="43"/>
        <v>0</v>
      </c>
      <c r="BB11" s="4">
        <f t="shared" si="44"/>
        <v>0</v>
      </c>
      <c r="BC11" s="4">
        <f t="shared" si="45"/>
        <v>0</v>
      </c>
      <c r="BD11" s="4">
        <f t="shared" si="46"/>
        <v>0</v>
      </c>
      <c r="BE11" s="4">
        <f t="shared" si="47"/>
        <v>0</v>
      </c>
      <c r="BF11" s="4">
        <f t="shared" si="48"/>
        <v>0</v>
      </c>
      <c r="BH11" s="4">
        <f t="shared" si="14"/>
        <v>2.7</v>
      </c>
      <c r="BI11" s="4">
        <v>2.8</v>
      </c>
      <c r="BJ11" s="4">
        <v>-154</v>
      </c>
      <c r="BK11" s="163">
        <v>-155</v>
      </c>
      <c r="BL11" s="4">
        <v>-162</v>
      </c>
      <c r="BM11" s="4">
        <f t="shared" si="15"/>
        <v>-162</v>
      </c>
      <c r="BN11" s="4">
        <v>1.5</v>
      </c>
      <c r="BO11" s="4">
        <v>1.5</v>
      </c>
      <c r="BP11" s="4">
        <v>1.5</v>
      </c>
      <c r="BQ11" s="4">
        <f t="shared" si="16"/>
        <v>1.5</v>
      </c>
      <c r="BR11" s="4">
        <v>20</v>
      </c>
      <c r="BS11" s="4">
        <v>20</v>
      </c>
      <c r="BT11" s="4">
        <v>20</v>
      </c>
      <c r="BU11" s="4">
        <f t="shared" si="17"/>
        <v>20</v>
      </c>
    </row>
    <row r="12" spans="1:78">
      <c r="A12" s="4">
        <f>MIN(StopFreqGHz+0.000001,FieldFox!A11+FreqStep)</f>
        <v>3.7960000000000003</v>
      </c>
      <c r="B12" s="4">
        <f t="shared" si="18"/>
        <v>-162</v>
      </c>
      <c r="C12" s="4">
        <f t="shared" si="19"/>
        <v>1.5</v>
      </c>
      <c r="D12" s="4">
        <f t="shared" si="20"/>
        <v>0.2</v>
      </c>
      <c r="E12" s="86">
        <f>NseMeas!H12</f>
        <v>438.4470651377784</v>
      </c>
      <c r="F12" s="4">
        <f t="shared" si="21"/>
        <v>4.0000000000000009</v>
      </c>
      <c r="G12" s="4">
        <f t="shared" si="22"/>
        <v>20</v>
      </c>
      <c r="H12" s="88">
        <f>10*LOG10(P1dbBWghz*1000000000*NseMeas!J12/NseMeas!BW)</f>
        <v>-34.553195625319667</v>
      </c>
      <c r="I12" s="4" t="b">
        <f t="shared" si="23"/>
        <v>0</v>
      </c>
      <c r="J12" s="87">
        <f>MAX(NseMeas!T12,K12/1000)</f>
        <v>3214269467.0147786</v>
      </c>
      <c r="K12" s="87">
        <f>NseMeas!S12</f>
        <v>7182235217.0617657</v>
      </c>
      <c r="L12" s="87">
        <f>NseMeas!X12</f>
        <v>3967965750.0469875</v>
      </c>
      <c r="M12" s="88">
        <f t="shared" si="5"/>
        <v>43.163202203876551</v>
      </c>
      <c r="N12" s="87">
        <f>4*K12*NseMeas!K12*Jitter1H1s/SQRT($BZ$4)</f>
        <v>2.2866790678504287</v>
      </c>
      <c r="O12" s="4">
        <f t="shared" si="24"/>
        <v>0.2</v>
      </c>
      <c r="P12" s="4">
        <f t="shared" si="6"/>
        <v>0.1</v>
      </c>
      <c r="Q12" s="86">
        <f>MAX(0.1,P12/(1+(NseMeas!J12*J12/(NseMeas!L12*L12))))</f>
        <v>0.1</v>
      </c>
      <c r="R12" s="86">
        <f>MAX(0.1,P12/(1+((NseMeas!L12*L12)/(NseMeas!J12*J12))))</f>
        <v>0.1</v>
      </c>
      <c r="S12" s="87">
        <f>MAX(Calibration!Q12,T12/1000)</f>
        <v>6.4485344474614736E-2</v>
      </c>
      <c r="T12" s="87">
        <f>Calibration!P12</f>
        <v>1.0644853444746147</v>
      </c>
      <c r="U12" s="87">
        <f>ABS(Calibration!S12)</f>
        <v>1</v>
      </c>
      <c r="V12" s="88">
        <f>T_0*(10^((O12+DashBoard!$N$6)/10)-1)-N12</f>
        <v>48.433611864613134</v>
      </c>
      <c r="W12" s="87">
        <f>4*T12*NseMeas!T12*Jitter1H1s/SQRT($BZ$4)</f>
        <v>5794791.8374308813</v>
      </c>
      <c r="X12" s="4">
        <f t="shared" si="27"/>
        <v>14314690587.153494</v>
      </c>
      <c r="Y12" s="4">
        <f>MIN(DashBoard!$N$5/2, X12/2)</f>
        <v>5.5</v>
      </c>
      <c r="Z12" s="86">
        <f>MAX(0.1,Y12/(1+(Calibration!H12*S12/(Calibration!J12*U12))))</f>
        <v>1.0569004887834728</v>
      </c>
      <c r="AA12" s="86">
        <f>MAX(0.1,Y12/(1+((Calibration!J12*U12)/(Calibration!H12*S12))))</f>
        <v>4.4430995112165279</v>
      </c>
      <c r="AC12" s="4">
        <f t="shared" si="7"/>
        <v>4.4430995112165279</v>
      </c>
      <c r="AD12" s="4">
        <f t="shared" si="8"/>
        <v>5.5</v>
      </c>
      <c r="AE12" s="4">
        <f t="shared" si="9"/>
        <v>1.0569004887834728</v>
      </c>
      <c r="AF12" s="4">
        <f t="shared" si="10"/>
        <v>0.1</v>
      </c>
      <c r="AG12" s="4">
        <f t="shared" si="11"/>
        <v>0.1</v>
      </c>
      <c r="AH12" s="4">
        <f t="shared" si="12"/>
        <v>0.1</v>
      </c>
      <c r="AI12" s="4">
        <f t="shared" si="25"/>
        <v>0.30000000000000004</v>
      </c>
      <c r="AJ12" s="4">
        <f t="shared" si="26"/>
        <v>14.48999999999999</v>
      </c>
      <c r="AK12" s="4">
        <f t="shared" si="28"/>
        <v>9</v>
      </c>
      <c r="AL12" s="4">
        <f t="shared" si="13"/>
        <v>0</v>
      </c>
      <c r="AM12" s="4">
        <f t="shared" si="29"/>
        <v>0</v>
      </c>
      <c r="AN12" s="4">
        <f t="shared" si="30"/>
        <v>0</v>
      </c>
      <c r="AO12" s="4">
        <f t="shared" si="31"/>
        <v>0</v>
      </c>
      <c r="AP12" s="4">
        <f t="shared" si="32"/>
        <v>0</v>
      </c>
      <c r="AQ12" s="4">
        <f t="shared" si="33"/>
        <v>0</v>
      </c>
      <c r="AR12" s="4">
        <f t="shared" si="34"/>
        <v>0</v>
      </c>
      <c r="AS12" s="4">
        <f t="shared" si="35"/>
        <v>0</v>
      </c>
      <c r="AT12" s="4">
        <f t="shared" si="36"/>
        <v>9</v>
      </c>
      <c r="AU12" s="4">
        <f t="shared" si="37"/>
        <v>0</v>
      </c>
      <c r="AV12" s="4">
        <f t="shared" si="38"/>
        <v>0</v>
      </c>
      <c r="AW12" s="4">
        <f t="shared" si="39"/>
        <v>0</v>
      </c>
      <c r="AX12" s="4">
        <f t="shared" si="40"/>
        <v>0</v>
      </c>
      <c r="AY12" s="4">
        <f t="shared" si="41"/>
        <v>0</v>
      </c>
      <c r="AZ12" s="4">
        <f t="shared" si="42"/>
        <v>0</v>
      </c>
      <c r="BA12" s="4">
        <f t="shared" si="43"/>
        <v>0</v>
      </c>
      <c r="BB12" s="4">
        <f t="shared" si="44"/>
        <v>0</v>
      </c>
      <c r="BC12" s="4">
        <f t="shared" si="45"/>
        <v>0</v>
      </c>
      <c r="BD12" s="4">
        <f t="shared" si="46"/>
        <v>0</v>
      </c>
      <c r="BE12" s="4">
        <f t="shared" si="47"/>
        <v>0</v>
      </c>
      <c r="BF12" s="4">
        <f t="shared" si="48"/>
        <v>0</v>
      </c>
      <c r="BH12" s="4">
        <f t="shared" si="14"/>
        <v>2.8</v>
      </c>
      <c r="BI12" s="4">
        <v>4.5</v>
      </c>
      <c r="BJ12" s="4">
        <v>-154</v>
      </c>
      <c r="BK12" s="163">
        <v>-156</v>
      </c>
      <c r="BL12" s="4">
        <v>-162</v>
      </c>
      <c r="BM12" s="4">
        <f t="shared" si="15"/>
        <v>-162</v>
      </c>
      <c r="BN12" s="4">
        <v>1.5</v>
      </c>
      <c r="BO12" s="4">
        <v>1.5</v>
      </c>
      <c r="BP12" s="4">
        <v>1.5</v>
      </c>
      <c r="BQ12" s="4">
        <f t="shared" si="16"/>
        <v>1.5</v>
      </c>
      <c r="BR12" s="4">
        <v>20</v>
      </c>
      <c r="BS12" s="4">
        <v>20</v>
      </c>
      <c r="BT12" s="4">
        <v>20</v>
      </c>
      <c r="BU12" s="4">
        <f t="shared" si="17"/>
        <v>20</v>
      </c>
    </row>
    <row r="13" spans="1:78">
      <c r="A13" s="4">
        <f>MIN(StopFreqGHz+0.000001,FieldFox!A12+FreqStep)</f>
        <v>4.3239999999999998</v>
      </c>
      <c r="B13" s="4">
        <f t="shared" si="18"/>
        <v>-162</v>
      </c>
      <c r="C13" s="4">
        <f t="shared" si="19"/>
        <v>1.5</v>
      </c>
      <c r="D13" s="4">
        <f t="shared" si="20"/>
        <v>0.2</v>
      </c>
      <c r="E13" s="86">
        <f>NseMeas!H13</f>
        <v>438.4470651377784</v>
      </c>
      <c r="F13" s="4">
        <f t="shared" si="21"/>
        <v>4.0000000000000009</v>
      </c>
      <c r="G13" s="4">
        <f t="shared" si="22"/>
        <v>20</v>
      </c>
      <c r="H13" s="88">
        <f>10*LOG10(P1dbBWghz*1000000000*NseMeas!J13/NseMeas!BW)</f>
        <v>-34.422219603387425</v>
      </c>
      <c r="I13" s="4" t="b">
        <f t="shared" si="23"/>
        <v>0</v>
      </c>
      <c r="J13" s="87">
        <f>MAX(NseMeas!T13,K13/1000)</f>
        <v>3114263475.609592</v>
      </c>
      <c r="K13" s="87">
        <f>NseMeas!S13</f>
        <v>6958763914.6441193</v>
      </c>
      <c r="L13" s="87">
        <f>NseMeas!X13</f>
        <v>3844500439.0345268</v>
      </c>
      <c r="M13" s="88">
        <f t="shared" si="5"/>
        <v>43.163202203876551</v>
      </c>
      <c r="N13" s="87">
        <f>4*K13*NseMeas!K13*Jitter1H1s/SQRT($BZ$4)</f>
        <v>2.279322591503905</v>
      </c>
      <c r="O13" s="4">
        <f t="shared" si="24"/>
        <v>0.2</v>
      </c>
      <c r="P13" s="4">
        <f t="shared" si="6"/>
        <v>0.1</v>
      </c>
      <c r="Q13" s="86">
        <f>MAX(0.1,P13/(1+(NseMeas!J13*J13/(NseMeas!L13*L13))))</f>
        <v>0.1</v>
      </c>
      <c r="R13" s="86">
        <f>MAX(0.1,P13/(1+((NseMeas!L13*L13)/(NseMeas!J13*J13))))</f>
        <v>0.1</v>
      </c>
      <c r="S13" s="87">
        <f>MAX(Calibration!Q13,T13/1000)</f>
        <v>6.4485344474614736E-2</v>
      </c>
      <c r="T13" s="87">
        <f>Calibration!P13</f>
        <v>1.0644853444746147</v>
      </c>
      <c r="U13" s="87">
        <f>ABS(Calibration!S13)</f>
        <v>1</v>
      </c>
      <c r="V13" s="88">
        <f>T_0*(10^((O13+DashBoard!$N$6)/10)-1)-N13</f>
        <v>48.440968340959657</v>
      </c>
      <c r="W13" s="87">
        <f>4*T13*NseMeas!T13*Jitter1H1s/SQRT($BZ$4)</f>
        <v>5614497.7119270936</v>
      </c>
      <c r="X13" s="4">
        <f t="shared" si="27"/>
        <v>13433716721.87458</v>
      </c>
      <c r="Y13" s="4">
        <f>MIN(DashBoard!$N$5/2, X13/2)</f>
        <v>5.5</v>
      </c>
      <c r="Z13" s="86">
        <f>MAX(0.1,Y13/(1+(Calibration!H13*S13/(Calibration!J13*U13))))</f>
        <v>1.0658129362508644</v>
      </c>
      <c r="AA13" s="86">
        <f>MAX(0.1,Y13/(1+((Calibration!J13*U13)/(Calibration!H13*S13))))</f>
        <v>4.4341870637491354</v>
      </c>
      <c r="AC13" s="4">
        <f t="shared" si="7"/>
        <v>4.4341870637491354</v>
      </c>
      <c r="AD13" s="4">
        <f t="shared" si="8"/>
        <v>5.5</v>
      </c>
      <c r="AE13" s="4">
        <f t="shared" si="9"/>
        <v>1.0658129362508644</v>
      </c>
      <c r="AF13" s="4">
        <f t="shared" si="10"/>
        <v>0.1</v>
      </c>
      <c r="AG13" s="4">
        <f t="shared" si="11"/>
        <v>0.1</v>
      </c>
      <c r="AH13" s="4">
        <f t="shared" si="12"/>
        <v>0.1</v>
      </c>
      <c r="AI13" s="4">
        <f t="shared" si="25"/>
        <v>0.30000000000000004</v>
      </c>
      <c r="AJ13" s="4">
        <f t="shared" si="26"/>
        <v>14.48999999999999</v>
      </c>
      <c r="AK13" s="4">
        <f t="shared" si="28"/>
        <v>9</v>
      </c>
      <c r="AL13" s="4">
        <f t="shared" si="13"/>
        <v>0</v>
      </c>
      <c r="AM13" s="4">
        <f t="shared" si="29"/>
        <v>0</v>
      </c>
      <c r="AN13" s="4">
        <f t="shared" si="30"/>
        <v>0</v>
      </c>
      <c r="AO13" s="4">
        <f t="shared" si="31"/>
        <v>0</v>
      </c>
      <c r="AP13" s="4">
        <f t="shared" si="32"/>
        <v>0</v>
      </c>
      <c r="AQ13" s="4">
        <f t="shared" si="33"/>
        <v>0</v>
      </c>
      <c r="AR13" s="4">
        <f t="shared" si="34"/>
        <v>0</v>
      </c>
      <c r="AS13" s="4">
        <f t="shared" si="35"/>
        <v>0</v>
      </c>
      <c r="AT13" s="4">
        <f t="shared" si="36"/>
        <v>9</v>
      </c>
      <c r="AU13" s="4">
        <f t="shared" si="37"/>
        <v>0</v>
      </c>
      <c r="AV13" s="4">
        <f t="shared" si="38"/>
        <v>0</v>
      </c>
      <c r="AW13" s="4">
        <f t="shared" si="39"/>
        <v>0</v>
      </c>
      <c r="AX13" s="4">
        <f t="shared" si="40"/>
        <v>0</v>
      </c>
      <c r="AY13" s="4">
        <f t="shared" si="41"/>
        <v>0</v>
      </c>
      <c r="AZ13" s="4">
        <f t="shared" si="42"/>
        <v>0</v>
      </c>
      <c r="BA13" s="4">
        <f t="shared" si="43"/>
        <v>0</v>
      </c>
      <c r="BB13" s="4">
        <f t="shared" si="44"/>
        <v>0</v>
      </c>
      <c r="BC13" s="4">
        <f t="shared" si="45"/>
        <v>0</v>
      </c>
      <c r="BD13" s="4">
        <f t="shared" si="46"/>
        <v>0</v>
      </c>
      <c r="BE13" s="4">
        <f t="shared" si="47"/>
        <v>0</v>
      </c>
      <c r="BF13" s="4">
        <f t="shared" si="48"/>
        <v>0</v>
      </c>
      <c r="BH13" s="4">
        <f t="shared" si="14"/>
        <v>4.5</v>
      </c>
      <c r="BI13" s="4">
        <v>7</v>
      </c>
      <c r="BJ13" s="4">
        <v>-150</v>
      </c>
      <c r="BK13" s="163">
        <v>-154</v>
      </c>
      <c r="BL13" s="4">
        <v>-160</v>
      </c>
      <c r="BM13" s="4">
        <f t="shared" si="15"/>
        <v>-160</v>
      </c>
      <c r="BN13" s="4">
        <v>1.5</v>
      </c>
      <c r="BO13" s="4">
        <v>1.5</v>
      </c>
      <c r="BP13" s="4">
        <v>1.5</v>
      </c>
      <c r="BQ13" s="4">
        <f t="shared" si="16"/>
        <v>1.5</v>
      </c>
      <c r="BR13" s="4">
        <v>20</v>
      </c>
      <c r="BS13" s="4">
        <v>20</v>
      </c>
      <c r="BT13" s="4">
        <v>20</v>
      </c>
      <c r="BU13" s="4">
        <f t="shared" si="17"/>
        <v>20</v>
      </c>
    </row>
    <row r="14" spans="1:78">
      <c r="A14" s="4">
        <f>MIN(StopFreqGHz+0.000001,FieldFox!A13+FreqStep)</f>
        <v>4.8520000000000003</v>
      </c>
      <c r="B14" s="4">
        <f t="shared" si="18"/>
        <v>-160</v>
      </c>
      <c r="C14" s="4">
        <f t="shared" si="19"/>
        <v>1.5</v>
      </c>
      <c r="D14" s="4">
        <f t="shared" si="20"/>
        <v>0.2</v>
      </c>
      <c r="E14" s="86">
        <f>NseMeas!H14</f>
        <v>438.4470651377784</v>
      </c>
      <c r="F14" s="4">
        <f t="shared" si="21"/>
        <v>4.0000000000000009</v>
      </c>
      <c r="G14" s="4">
        <f t="shared" si="22"/>
        <v>20</v>
      </c>
      <c r="H14" s="88">
        <f>10*LOG10(P1dbBWghz*1000000000*NseMeas!J14/NseMeas!BW)</f>
        <v>-34.283716431365399</v>
      </c>
      <c r="I14" s="4" t="b">
        <f t="shared" si="23"/>
        <v>0</v>
      </c>
      <c r="J14" s="87">
        <f>MAX(NseMeas!T14,K14/1000)</f>
        <v>3017368752.6316533</v>
      </c>
      <c r="K14" s="87">
        <f>NseMeas!S14</f>
        <v>6742245567.8011541</v>
      </c>
      <c r="L14" s="87">
        <f>NseMeas!X14</f>
        <v>3724876815.1695004</v>
      </c>
      <c r="M14" s="88">
        <f t="shared" si="5"/>
        <v>43.163202203876551</v>
      </c>
      <c r="N14" s="87">
        <f>4*K14*NseMeas!K14*Jitter1H1s/SQRT($BZ$4)</f>
        <v>2.2807520708492302</v>
      </c>
      <c r="O14" s="4">
        <f t="shared" si="24"/>
        <v>0.2</v>
      </c>
      <c r="P14" s="4">
        <f t="shared" si="6"/>
        <v>0.1</v>
      </c>
      <c r="Q14" s="86">
        <f>MAX(0.1,P14/(1+(NseMeas!J14*J14/(NseMeas!L14*L14))))</f>
        <v>0.1</v>
      </c>
      <c r="R14" s="86">
        <f>MAX(0.1,P14/(1+((NseMeas!L14*L14)/(NseMeas!J14*J14))))</f>
        <v>0.1</v>
      </c>
      <c r="S14" s="87">
        <f>MAX(Calibration!Q14,T14/1000)</f>
        <v>6.4485344474614736E-2</v>
      </c>
      <c r="T14" s="87">
        <f>Calibration!P14</f>
        <v>1.0644853444746147</v>
      </c>
      <c r="U14" s="87">
        <f>ABS(Calibration!S14)</f>
        <v>1</v>
      </c>
      <c r="V14" s="88">
        <f>T_0*(10^((O14+DashBoard!$N$6)/10)-1)-N14</f>
        <v>48.439538861614331</v>
      </c>
      <c r="W14" s="87">
        <f>4*T14*NseMeas!T14*Jitter1H1s/SQRT($BZ$4)</f>
        <v>5439812.6845624894</v>
      </c>
      <c r="X14" s="4">
        <f t="shared" si="27"/>
        <v>12611533291.114498</v>
      </c>
      <c r="Y14" s="4">
        <f>MIN(DashBoard!$N$5/2, X14/2)</f>
        <v>5.5</v>
      </c>
      <c r="Z14" s="86">
        <f>MAX(0.1,Y14/(1+(Calibration!H14*S14/(Calibration!J14*U14))))</f>
        <v>1.4732702627406975</v>
      </c>
      <c r="AA14" s="86">
        <f>MAX(0.1,Y14/(1+((Calibration!J14*U14)/(Calibration!H14*S14))))</f>
        <v>4.0267297372593021</v>
      </c>
      <c r="AC14" s="4">
        <f t="shared" si="7"/>
        <v>4.0267297372593021</v>
      </c>
      <c r="AD14" s="4">
        <f t="shared" si="8"/>
        <v>5.5</v>
      </c>
      <c r="AE14" s="4">
        <f t="shared" si="9"/>
        <v>1.4732702627406975</v>
      </c>
      <c r="AF14" s="4">
        <f t="shared" si="10"/>
        <v>0.1</v>
      </c>
      <c r="AG14" s="4">
        <f t="shared" si="11"/>
        <v>0.1</v>
      </c>
      <c r="AH14" s="4">
        <f t="shared" si="12"/>
        <v>0.1</v>
      </c>
      <c r="AI14" s="4">
        <f t="shared" si="25"/>
        <v>0.30000000000000004</v>
      </c>
      <c r="AJ14" s="4">
        <f t="shared" si="26"/>
        <v>16.489999999999988</v>
      </c>
      <c r="AK14" s="4">
        <f t="shared" si="28"/>
        <v>10</v>
      </c>
      <c r="AL14" s="4">
        <f t="shared" si="13"/>
        <v>0</v>
      </c>
      <c r="AM14" s="4">
        <f t="shared" si="29"/>
        <v>0</v>
      </c>
      <c r="AN14" s="4">
        <f t="shared" si="30"/>
        <v>0</v>
      </c>
      <c r="AO14" s="4">
        <f t="shared" si="31"/>
        <v>0</v>
      </c>
      <c r="AP14" s="4">
        <f t="shared" si="32"/>
        <v>0</v>
      </c>
      <c r="AQ14" s="4">
        <f t="shared" si="33"/>
        <v>0</v>
      </c>
      <c r="AR14" s="4">
        <f t="shared" si="34"/>
        <v>0</v>
      </c>
      <c r="AS14" s="4">
        <f t="shared" si="35"/>
        <v>0</v>
      </c>
      <c r="AT14" s="4">
        <f t="shared" si="36"/>
        <v>0</v>
      </c>
      <c r="AU14" s="4">
        <f t="shared" si="37"/>
        <v>10</v>
      </c>
      <c r="AV14" s="4">
        <f t="shared" si="38"/>
        <v>0</v>
      </c>
      <c r="AW14" s="4">
        <f t="shared" si="39"/>
        <v>0</v>
      </c>
      <c r="AX14" s="4">
        <f t="shared" si="40"/>
        <v>0</v>
      </c>
      <c r="AY14" s="4">
        <f t="shared" si="41"/>
        <v>0</v>
      </c>
      <c r="AZ14" s="4">
        <f t="shared" si="42"/>
        <v>0</v>
      </c>
      <c r="BA14" s="4">
        <f t="shared" si="43"/>
        <v>0</v>
      </c>
      <c r="BB14" s="4">
        <f t="shared" si="44"/>
        <v>0</v>
      </c>
      <c r="BC14" s="4">
        <f t="shared" si="45"/>
        <v>0</v>
      </c>
      <c r="BD14" s="4">
        <f t="shared" si="46"/>
        <v>0</v>
      </c>
      <c r="BE14" s="4">
        <f t="shared" si="47"/>
        <v>0</v>
      </c>
      <c r="BF14" s="4">
        <f t="shared" si="48"/>
        <v>0</v>
      </c>
      <c r="BH14" s="4">
        <f t="shared" si="14"/>
        <v>7</v>
      </c>
      <c r="BI14" s="4">
        <v>7.5</v>
      </c>
      <c r="BJ14" s="4">
        <v>-148</v>
      </c>
      <c r="BK14" s="163">
        <v>-150</v>
      </c>
      <c r="BL14" s="4">
        <v>-160</v>
      </c>
      <c r="BM14" s="4">
        <f t="shared" si="15"/>
        <v>-160</v>
      </c>
      <c r="BN14" s="4">
        <v>1.5</v>
      </c>
      <c r="BO14" s="4">
        <v>1.5</v>
      </c>
      <c r="BP14" s="4">
        <v>1.5</v>
      </c>
      <c r="BQ14" s="4">
        <f t="shared" si="16"/>
        <v>1.5</v>
      </c>
      <c r="BR14" s="4">
        <v>20</v>
      </c>
      <c r="BS14" s="4">
        <v>20</v>
      </c>
      <c r="BT14" s="4">
        <v>20</v>
      </c>
      <c r="BU14" s="4">
        <f t="shared" si="17"/>
        <v>20</v>
      </c>
    </row>
    <row r="15" spans="1:78">
      <c r="A15" s="4">
        <f>MIN(StopFreqGHz+0.000001,FieldFox!A14+FreqStep)</f>
        <v>5.3800000000000008</v>
      </c>
      <c r="B15" s="4">
        <f t="shared" si="18"/>
        <v>-160</v>
      </c>
      <c r="C15" s="4">
        <f t="shared" si="19"/>
        <v>1.5</v>
      </c>
      <c r="D15" s="4">
        <f t="shared" si="20"/>
        <v>0.2</v>
      </c>
      <c r="E15" s="86">
        <f>NseMeas!H15</f>
        <v>438.4470651377784</v>
      </c>
      <c r="F15" s="4">
        <f t="shared" si="21"/>
        <v>4.0000000000000009</v>
      </c>
      <c r="G15" s="4">
        <f t="shared" si="22"/>
        <v>20</v>
      </c>
      <c r="H15" s="88">
        <f>10*LOG10(P1dbBWghz*1000000000*NseMeas!J15/NseMeas!BW)</f>
        <v>-34.146540786489801</v>
      </c>
      <c r="I15" s="4" t="b">
        <f t="shared" si="23"/>
        <v>0</v>
      </c>
      <c r="J15" s="87">
        <f>MAX(NseMeas!T15,K15/1000)</f>
        <v>2923488518.1343899</v>
      </c>
      <c r="K15" s="87">
        <f>NseMeas!S15</f>
        <v>6532463860.4994555</v>
      </c>
      <c r="L15" s="87">
        <f>NseMeas!X15</f>
        <v>3608975342.3650656</v>
      </c>
      <c r="M15" s="88">
        <f t="shared" si="5"/>
        <v>43.163202203876551</v>
      </c>
      <c r="N15" s="87">
        <f>4*K15*NseMeas!K15*Jitter1H1s/SQRT($BZ$4)</f>
        <v>2.2806326659907459</v>
      </c>
      <c r="O15" s="4">
        <f t="shared" si="24"/>
        <v>0.2</v>
      </c>
      <c r="P15" s="4">
        <f t="shared" si="6"/>
        <v>0.1</v>
      </c>
      <c r="Q15" s="86">
        <f>MAX(0.1,P15/(1+(NseMeas!J15*J15/(NseMeas!L15*L15))))</f>
        <v>0.1</v>
      </c>
      <c r="R15" s="86">
        <f>MAX(0.1,P15/(1+((NseMeas!L15*L15)/(NseMeas!J15*J15))))</f>
        <v>0.1</v>
      </c>
      <c r="S15" s="87">
        <f>MAX(Calibration!Q15,T15/1000)</f>
        <v>6.4485344474614736E-2</v>
      </c>
      <c r="T15" s="87">
        <f>Calibration!P15</f>
        <v>1.0644853444746147</v>
      </c>
      <c r="U15" s="87">
        <f>ABS(Calibration!S15)</f>
        <v>1</v>
      </c>
      <c r="V15" s="88">
        <f>T_0*(10^((O15+DashBoard!$N$6)/10)-1)-N15</f>
        <v>48.439658266472819</v>
      </c>
      <c r="W15" s="87">
        <f>4*T15*NseMeas!T15*Jitter1H1s/SQRT($BZ$4)</f>
        <v>5270562.2772324262</v>
      </c>
      <c r="X15" s="4">
        <f t="shared" si="27"/>
        <v>11838911047.53064</v>
      </c>
      <c r="Y15" s="4">
        <f>MIN(DashBoard!$N$5/2, X15/2)</f>
        <v>5.5</v>
      </c>
      <c r="Z15" s="86">
        <f>MAX(0.1,Y15/(1+(Calibration!H15*S15/(Calibration!J15*U15))))</f>
        <v>1.4401747582493134</v>
      </c>
      <c r="AA15" s="86">
        <f>MAX(0.1,Y15/(1+((Calibration!J15*U15)/(Calibration!H15*S15))))</f>
        <v>4.0598252417506862</v>
      </c>
      <c r="AC15" s="4">
        <f t="shared" si="7"/>
        <v>4.0598252417506862</v>
      </c>
      <c r="AD15" s="4">
        <f t="shared" si="8"/>
        <v>5.5</v>
      </c>
      <c r="AE15" s="4">
        <f t="shared" si="9"/>
        <v>1.4401747582493134</v>
      </c>
      <c r="AF15" s="4">
        <f t="shared" si="10"/>
        <v>0.1</v>
      </c>
      <c r="AG15" s="4">
        <f t="shared" si="11"/>
        <v>0.1</v>
      </c>
      <c r="AH15" s="4">
        <f t="shared" si="12"/>
        <v>0.1</v>
      </c>
      <c r="AI15" s="4">
        <f t="shared" si="25"/>
        <v>0.30000000000000004</v>
      </c>
      <c r="AJ15" s="4">
        <f t="shared" si="26"/>
        <v>16.489999999999988</v>
      </c>
      <c r="AK15" s="4">
        <f t="shared" si="28"/>
        <v>10</v>
      </c>
      <c r="AL15" s="4">
        <f t="shared" si="13"/>
        <v>0</v>
      </c>
      <c r="AM15" s="4">
        <f t="shared" si="29"/>
        <v>0</v>
      </c>
      <c r="AN15" s="4">
        <f t="shared" si="30"/>
        <v>0</v>
      </c>
      <c r="AO15" s="4">
        <f t="shared" si="31"/>
        <v>0</v>
      </c>
      <c r="AP15" s="4">
        <f t="shared" si="32"/>
        <v>0</v>
      </c>
      <c r="AQ15" s="4">
        <f t="shared" si="33"/>
        <v>0</v>
      </c>
      <c r="AR15" s="4">
        <f t="shared" si="34"/>
        <v>0</v>
      </c>
      <c r="AS15" s="4">
        <f t="shared" si="35"/>
        <v>0</v>
      </c>
      <c r="AT15" s="4">
        <f t="shared" si="36"/>
        <v>0</v>
      </c>
      <c r="AU15" s="4">
        <f t="shared" si="37"/>
        <v>10</v>
      </c>
      <c r="AV15" s="4">
        <f t="shared" si="38"/>
        <v>0</v>
      </c>
      <c r="AW15" s="4">
        <f t="shared" si="39"/>
        <v>0</v>
      </c>
      <c r="AX15" s="4">
        <f t="shared" si="40"/>
        <v>0</v>
      </c>
      <c r="AY15" s="4">
        <f t="shared" si="41"/>
        <v>0</v>
      </c>
      <c r="AZ15" s="4">
        <f t="shared" si="42"/>
        <v>0</v>
      </c>
      <c r="BA15" s="4">
        <f t="shared" si="43"/>
        <v>0</v>
      </c>
      <c r="BB15" s="4">
        <f t="shared" si="44"/>
        <v>0</v>
      </c>
      <c r="BC15" s="4">
        <f t="shared" si="45"/>
        <v>0</v>
      </c>
      <c r="BD15" s="4">
        <f t="shared" si="46"/>
        <v>0</v>
      </c>
      <c r="BE15" s="4">
        <f t="shared" si="47"/>
        <v>0</v>
      </c>
      <c r="BF15" s="4">
        <f t="shared" si="48"/>
        <v>0</v>
      </c>
      <c r="BH15" s="4">
        <f t="shared" si="14"/>
        <v>7.5</v>
      </c>
      <c r="BI15" s="4">
        <v>13</v>
      </c>
      <c r="BJ15" s="4">
        <v>-148</v>
      </c>
      <c r="BK15" s="163">
        <v>-150</v>
      </c>
      <c r="BL15" s="4">
        <v>-161</v>
      </c>
      <c r="BM15" s="4">
        <f t="shared" si="15"/>
        <v>-161</v>
      </c>
      <c r="BN15" s="4">
        <v>2.2000000000000002</v>
      </c>
      <c r="BO15" s="4">
        <v>1.5</v>
      </c>
      <c r="BP15" s="4">
        <v>2</v>
      </c>
      <c r="BQ15" s="4">
        <f t="shared" si="16"/>
        <v>2</v>
      </c>
      <c r="BR15" s="4">
        <v>20</v>
      </c>
      <c r="BS15" s="4">
        <v>20</v>
      </c>
      <c r="BT15" s="4">
        <v>20</v>
      </c>
      <c r="BU15" s="4">
        <f t="shared" si="17"/>
        <v>20</v>
      </c>
    </row>
    <row r="16" spans="1:78">
      <c r="A16" s="4">
        <f>MIN(StopFreqGHz+0.000001,FieldFox!A15+FreqStep)</f>
        <v>5.9080000000000013</v>
      </c>
      <c r="B16" s="4">
        <f t="shared" si="18"/>
        <v>-160</v>
      </c>
      <c r="C16" s="4">
        <f t="shared" si="19"/>
        <v>1.5</v>
      </c>
      <c r="D16" s="4">
        <f t="shared" si="20"/>
        <v>0.2</v>
      </c>
      <c r="E16" s="86">
        <f>NseMeas!H16</f>
        <v>438.4470651377784</v>
      </c>
      <c r="F16" s="4">
        <f t="shared" si="21"/>
        <v>4.0000000000000009</v>
      </c>
      <c r="G16" s="4">
        <f t="shared" si="22"/>
        <v>20</v>
      </c>
      <c r="H16" s="88">
        <f>10*LOG10(P1dbBWghz*1000000000*NseMeas!J16/NseMeas!BW)</f>
        <v>-34.00936189694216</v>
      </c>
      <c r="I16" s="4" t="b">
        <f t="shared" si="23"/>
        <v>0</v>
      </c>
      <c r="J16" s="87">
        <f>MAX(NseMeas!T16,K16/1000)</f>
        <v>2832529001.7660832</v>
      </c>
      <c r="K16" s="87">
        <f>NseMeas!S16</f>
        <v>6329209205.727766</v>
      </c>
      <c r="L16" s="87">
        <f>NseMeas!X16</f>
        <v>3496680203.9616833</v>
      </c>
      <c r="M16" s="88">
        <f t="shared" si="5"/>
        <v>43.163202203876551</v>
      </c>
      <c r="N16" s="87">
        <f>4*K16*NseMeas!K16*Jitter1H1s/SQRT($BZ$4)</f>
        <v>2.2805169762360125</v>
      </c>
      <c r="O16" s="4">
        <f t="shared" si="24"/>
        <v>0.2</v>
      </c>
      <c r="P16" s="4">
        <f t="shared" si="6"/>
        <v>0.1</v>
      </c>
      <c r="Q16" s="86">
        <f>MAX(0.1,P16/(1+(NseMeas!J16*J16/(NseMeas!L16*L16))))</f>
        <v>0.1</v>
      </c>
      <c r="R16" s="86">
        <f>MAX(0.1,P16/(1+((NseMeas!L16*L16)/(NseMeas!J16*J16))))</f>
        <v>0.1</v>
      </c>
      <c r="S16" s="87">
        <f>MAX(Calibration!Q16,T16/1000)</f>
        <v>6.4485344474614736E-2</v>
      </c>
      <c r="T16" s="87">
        <f>Calibration!P16</f>
        <v>1.0644853444746147</v>
      </c>
      <c r="U16" s="87">
        <f>ABS(Calibration!S16)</f>
        <v>1</v>
      </c>
      <c r="V16" s="88">
        <f>T_0*(10^((O16+DashBoard!$N$6)/10)-1)-N16</f>
        <v>48.439773956227548</v>
      </c>
      <c r="W16" s="87">
        <f>4*T16*NseMeas!T16*Jitter1H1s/SQRT($BZ$4)</f>
        <v>5106577.4376298971</v>
      </c>
      <c r="X16" s="4">
        <f t="shared" si="27"/>
        <v>11113622181.550825</v>
      </c>
      <c r="Y16" s="4">
        <f>MIN(DashBoard!$N$5/2, X16/2)</f>
        <v>5.5</v>
      </c>
      <c r="Z16" s="86">
        <f>MAX(0.1,Y16/(1+(Calibration!H16*S16/(Calibration!J16*U16))))</f>
        <v>1.4075403724579025</v>
      </c>
      <c r="AA16" s="86">
        <f>MAX(0.1,Y16/(1+((Calibration!J16*U16)/(Calibration!H16*S16))))</f>
        <v>4.0924596275420972</v>
      </c>
      <c r="AC16" s="4">
        <f t="shared" si="7"/>
        <v>4.0924596275420972</v>
      </c>
      <c r="AD16" s="4">
        <f t="shared" si="8"/>
        <v>5.5</v>
      </c>
      <c r="AE16" s="4">
        <f t="shared" si="9"/>
        <v>1.4075403724579025</v>
      </c>
      <c r="AF16" s="4">
        <f t="shared" si="10"/>
        <v>0.1</v>
      </c>
      <c r="AG16" s="4">
        <f t="shared" si="11"/>
        <v>0.1</v>
      </c>
      <c r="AH16" s="4">
        <f t="shared" si="12"/>
        <v>0.1</v>
      </c>
      <c r="AI16" s="4">
        <f t="shared" si="25"/>
        <v>0.30000000000000004</v>
      </c>
      <c r="AJ16" s="4">
        <f t="shared" si="26"/>
        <v>16.489999999999988</v>
      </c>
      <c r="AK16" s="4">
        <f t="shared" si="28"/>
        <v>10</v>
      </c>
      <c r="AL16" s="4">
        <f t="shared" si="13"/>
        <v>0</v>
      </c>
      <c r="AM16" s="4">
        <f t="shared" si="29"/>
        <v>0</v>
      </c>
      <c r="AN16" s="4">
        <f t="shared" si="30"/>
        <v>0</v>
      </c>
      <c r="AO16" s="4">
        <f t="shared" si="31"/>
        <v>0</v>
      </c>
      <c r="AP16" s="4">
        <f t="shared" si="32"/>
        <v>0</v>
      </c>
      <c r="AQ16" s="4">
        <f t="shared" si="33"/>
        <v>0</v>
      </c>
      <c r="AR16" s="4">
        <f t="shared" si="34"/>
        <v>0</v>
      </c>
      <c r="AS16" s="4">
        <f t="shared" si="35"/>
        <v>0</v>
      </c>
      <c r="AT16" s="4">
        <f t="shared" si="36"/>
        <v>0</v>
      </c>
      <c r="AU16" s="4">
        <f t="shared" si="37"/>
        <v>10</v>
      </c>
      <c r="AV16" s="4">
        <f t="shared" si="38"/>
        <v>0</v>
      </c>
      <c r="AW16" s="4">
        <f t="shared" si="39"/>
        <v>0</v>
      </c>
      <c r="AX16" s="4">
        <f t="shared" si="40"/>
        <v>0</v>
      </c>
      <c r="AY16" s="4">
        <f t="shared" si="41"/>
        <v>0</v>
      </c>
      <c r="AZ16" s="4">
        <f t="shared" si="42"/>
        <v>0</v>
      </c>
      <c r="BA16" s="4">
        <f t="shared" si="43"/>
        <v>0</v>
      </c>
      <c r="BB16" s="4">
        <f t="shared" si="44"/>
        <v>0</v>
      </c>
      <c r="BC16" s="4">
        <f t="shared" si="45"/>
        <v>0</v>
      </c>
      <c r="BD16" s="4">
        <f t="shared" si="46"/>
        <v>0</v>
      </c>
      <c r="BE16" s="4">
        <f t="shared" si="47"/>
        <v>0</v>
      </c>
      <c r="BF16" s="4">
        <f t="shared" si="48"/>
        <v>0</v>
      </c>
      <c r="BH16" s="4">
        <f t="shared" si="14"/>
        <v>13</v>
      </c>
      <c r="BI16" s="4">
        <v>17</v>
      </c>
      <c r="BJ16" s="4">
        <v>-144</v>
      </c>
      <c r="BK16" s="163">
        <v>-147</v>
      </c>
      <c r="BL16" s="4">
        <v>-158</v>
      </c>
      <c r="BM16" s="4">
        <f t="shared" si="15"/>
        <v>-158</v>
      </c>
      <c r="BN16" s="4">
        <v>2.2000000000000002</v>
      </c>
      <c r="BO16" s="4">
        <v>1.5</v>
      </c>
      <c r="BP16" s="4">
        <v>2</v>
      </c>
      <c r="BQ16" s="4">
        <f t="shared" si="16"/>
        <v>2</v>
      </c>
      <c r="BR16" s="4">
        <v>20</v>
      </c>
      <c r="BS16" s="4">
        <v>20</v>
      </c>
      <c r="BT16" s="4">
        <v>20</v>
      </c>
      <c r="BU16" s="4">
        <f t="shared" si="17"/>
        <v>20</v>
      </c>
    </row>
    <row r="17" spans="1:73">
      <c r="A17" s="4">
        <f>MIN(StopFreqGHz+0.000001,FieldFox!A16+FreqStep)</f>
        <v>6.4360000000000017</v>
      </c>
      <c r="B17" s="4">
        <f t="shared" si="18"/>
        <v>-160</v>
      </c>
      <c r="C17" s="4">
        <f t="shared" si="19"/>
        <v>1.5</v>
      </c>
      <c r="D17" s="4">
        <f t="shared" si="20"/>
        <v>0.2</v>
      </c>
      <c r="E17" s="86">
        <f>NseMeas!H17</f>
        <v>438.4470651377784</v>
      </c>
      <c r="F17" s="4">
        <f t="shared" si="21"/>
        <v>4.0000000000000009</v>
      </c>
      <c r="G17" s="4">
        <f t="shared" si="22"/>
        <v>20</v>
      </c>
      <c r="H17" s="88">
        <f>10*LOG10(P1dbBWghz*1000000000*NseMeas!J17/NseMeas!BW)</f>
        <v>-33.877138337018515</v>
      </c>
      <c r="I17" s="4" t="b">
        <f t="shared" si="23"/>
        <v>0</v>
      </c>
      <c r="J17" s="87">
        <f>MAX(NseMeas!T17,K17/1000)</f>
        <v>2744399349.2328162</v>
      </c>
      <c r="K17" s="87">
        <f>NseMeas!S17</f>
        <v>6132278536.2280293</v>
      </c>
      <c r="L17" s="87">
        <f>NseMeas!X17</f>
        <v>3387879186.995214</v>
      </c>
      <c r="M17" s="88">
        <f t="shared" si="5"/>
        <v>43.163202203876551</v>
      </c>
      <c r="N17" s="87">
        <f>4*K17*NseMeas!K17*Jitter1H1s/SQRT($BZ$4)</f>
        <v>2.2746228272297664</v>
      </c>
      <c r="O17" s="4">
        <f t="shared" si="24"/>
        <v>0.2</v>
      </c>
      <c r="P17" s="4">
        <f t="shared" si="6"/>
        <v>0.1</v>
      </c>
      <c r="Q17" s="86">
        <f>MAX(0.1,P17/(1+(NseMeas!J17*J17/(NseMeas!L17*L17))))</f>
        <v>0.1</v>
      </c>
      <c r="R17" s="86">
        <f>MAX(0.1,P17/(1+((NseMeas!L17*L17)/(NseMeas!J17*J17))))</f>
        <v>0.1</v>
      </c>
      <c r="S17" s="87">
        <f>MAX(Calibration!Q17,T17/1000)</f>
        <v>6.4485344474614736E-2</v>
      </c>
      <c r="T17" s="87">
        <f>Calibration!P17</f>
        <v>1.0644853444746147</v>
      </c>
      <c r="U17" s="87">
        <f>ABS(Calibration!S17)</f>
        <v>1</v>
      </c>
      <c r="V17" s="88">
        <f>T_0*(10^((O17+DashBoard!$N$6)/10)-1)-N17</f>
        <v>48.445668105233793</v>
      </c>
      <c r="W17" s="87">
        <f>4*T17*NseMeas!T17*Jitter1H1s/SQRT($BZ$4)</f>
        <v>4947694.370613833</v>
      </c>
      <c r="X17" s="4">
        <f t="shared" si="27"/>
        <v>10430276703.084854</v>
      </c>
      <c r="Y17" s="4">
        <f>MIN(DashBoard!$N$5/2, X17/2)</f>
        <v>5.5</v>
      </c>
      <c r="Z17" s="86">
        <f>MAX(0.1,Y17/(1+(Calibration!H17*S17/(Calibration!J17*U17))))</f>
        <v>1.4108228564439553</v>
      </c>
      <c r="AA17" s="86">
        <f>MAX(0.1,Y17/(1+((Calibration!J17*U17)/(Calibration!H17*S17))))</f>
        <v>4.0891771435560447</v>
      </c>
      <c r="AC17" s="4">
        <f t="shared" si="7"/>
        <v>4.0891771435560447</v>
      </c>
      <c r="AD17" s="4">
        <f t="shared" si="8"/>
        <v>5.5</v>
      </c>
      <c r="AE17" s="4">
        <f t="shared" si="9"/>
        <v>1.4108228564439553</v>
      </c>
      <c r="AF17" s="4">
        <f t="shared" si="10"/>
        <v>0.1</v>
      </c>
      <c r="AG17" s="4">
        <f t="shared" si="11"/>
        <v>0.1</v>
      </c>
      <c r="AH17" s="4">
        <f t="shared" si="12"/>
        <v>0.1</v>
      </c>
      <c r="AI17" s="4">
        <f t="shared" si="25"/>
        <v>0.30000000000000004</v>
      </c>
      <c r="AJ17" s="4">
        <f t="shared" si="26"/>
        <v>16.489999999999988</v>
      </c>
      <c r="AK17" s="4">
        <f t="shared" si="28"/>
        <v>10</v>
      </c>
      <c r="AL17" s="4">
        <f t="shared" si="13"/>
        <v>0</v>
      </c>
      <c r="AM17" s="4">
        <f t="shared" si="29"/>
        <v>0</v>
      </c>
      <c r="AN17" s="4">
        <f t="shared" si="30"/>
        <v>0</v>
      </c>
      <c r="AO17" s="4">
        <f t="shared" si="31"/>
        <v>0</v>
      </c>
      <c r="AP17" s="4">
        <f t="shared" si="32"/>
        <v>0</v>
      </c>
      <c r="AQ17" s="4">
        <f t="shared" si="33"/>
        <v>0</v>
      </c>
      <c r="AR17" s="4">
        <f t="shared" si="34"/>
        <v>0</v>
      </c>
      <c r="AS17" s="4">
        <f t="shared" si="35"/>
        <v>0</v>
      </c>
      <c r="AT17" s="4">
        <f t="shared" si="36"/>
        <v>0</v>
      </c>
      <c r="AU17" s="4">
        <f t="shared" si="37"/>
        <v>10</v>
      </c>
      <c r="AV17" s="4">
        <f t="shared" si="38"/>
        <v>0</v>
      </c>
      <c r="AW17" s="4">
        <f t="shared" si="39"/>
        <v>0</v>
      </c>
      <c r="AX17" s="4">
        <f t="shared" si="40"/>
        <v>0</v>
      </c>
      <c r="AY17" s="4">
        <f t="shared" si="41"/>
        <v>0</v>
      </c>
      <c r="AZ17" s="4">
        <f t="shared" si="42"/>
        <v>0</v>
      </c>
      <c r="BA17" s="4">
        <f t="shared" si="43"/>
        <v>0</v>
      </c>
      <c r="BB17" s="4">
        <f t="shared" si="44"/>
        <v>0</v>
      </c>
      <c r="BC17" s="4">
        <f t="shared" si="45"/>
        <v>0</v>
      </c>
      <c r="BD17" s="4">
        <f t="shared" si="46"/>
        <v>0</v>
      </c>
      <c r="BE17" s="4">
        <f t="shared" si="47"/>
        <v>0</v>
      </c>
      <c r="BF17" s="4">
        <f t="shared" si="48"/>
        <v>0</v>
      </c>
      <c r="BH17" s="4">
        <f t="shared" si="14"/>
        <v>17</v>
      </c>
      <c r="BI17" s="4">
        <v>18</v>
      </c>
      <c r="BJ17" s="4">
        <v>-142</v>
      </c>
      <c r="BK17" s="163">
        <v>-147</v>
      </c>
      <c r="BL17" s="4">
        <v>-158</v>
      </c>
      <c r="BM17" s="4">
        <f t="shared" si="15"/>
        <v>-158</v>
      </c>
      <c r="BN17" s="4">
        <v>2.2000000000000002</v>
      </c>
      <c r="BO17" s="4">
        <v>2.2000000000000002</v>
      </c>
      <c r="BP17" s="4">
        <v>2</v>
      </c>
      <c r="BQ17" s="4">
        <f t="shared" si="16"/>
        <v>2</v>
      </c>
      <c r="BR17" s="4">
        <v>20</v>
      </c>
      <c r="BS17" s="4">
        <v>20</v>
      </c>
      <c r="BT17" s="4">
        <v>20</v>
      </c>
      <c r="BU17" s="4">
        <f t="shared" si="17"/>
        <v>20</v>
      </c>
    </row>
    <row r="18" spans="1:73">
      <c r="A18" s="4">
        <f>MIN(StopFreqGHz+0.000001,FieldFox!A17+FreqStep)</f>
        <v>6.9640000000000022</v>
      </c>
      <c r="B18" s="4">
        <f t="shared" si="18"/>
        <v>-160</v>
      </c>
      <c r="C18" s="4">
        <f t="shared" si="19"/>
        <v>1.5</v>
      </c>
      <c r="D18" s="4">
        <f t="shared" si="20"/>
        <v>0.2</v>
      </c>
      <c r="E18" s="86">
        <f>NseMeas!H18</f>
        <v>438.4470651377784</v>
      </c>
      <c r="F18" s="4">
        <f t="shared" si="21"/>
        <v>4.0000000000000009</v>
      </c>
      <c r="G18" s="4">
        <f t="shared" si="22"/>
        <v>20</v>
      </c>
      <c r="H18" s="88">
        <f>10*LOG10(P1dbBWghz*1000000000*NseMeas!J18/NseMeas!BW)</f>
        <v>-33.739953365875238</v>
      </c>
      <c r="I18" s="4" t="b">
        <f t="shared" si="23"/>
        <v>0</v>
      </c>
      <c r="J18" s="87">
        <f>MAX(NseMeas!T18,K18/1000)</f>
        <v>2659011531.6651921</v>
      </c>
      <c r="K18" s="87">
        <f>NseMeas!S18</f>
        <v>5941475101.7312384</v>
      </c>
      <c r="L18" s="87">
        <f>NseMeas!X18</f>
        <v>3282463570.0660458</v>
      </c>
      <c r="M18" s="88">
        <f t="shared" si="5"/>
        <v>43.163202203876551</v>
      </c>
      <c r="N18" s="87">
        <f>4*K18*NseMeas!K18*Jitter1H1s/SQRT($BZ$4)</f>
        <v>2.2745142190894039</v>
      </c>
      <c r="O18" s="4">
        <f t="shared" si="24"/>
        <v>0.2</v>
      </c>
      <c r="P18" s="4">
        <f t="shared" si="6"/>
        <v>0.1</v>
      </c>
      <c r="Q18" s="86">
        <f>MAX(0.1,P18/(1+(NseMeas!J18*J18/(NseMeas!L18*L18))))</f>
        <v>0.1</v>
      </c>
      <c r="R18" s="86">
        <f>MAX(0.1,P18/(1+((NseMeas!L18*L18)/(NseMeas!J18*J18))))</f>
        <v>0.1</v>
      </c>
      <c r="S18" s="87">
        <f>MAX(Calibration!Q18,T18/1000)</f>
        <v>6.4485344474614736E-2</v>
      </c>
      <c r="T18" s="87">
        <f>Calibration!P18</f>
        <v>1.0644853444746147</v>
      </c>
      <c r="U18" s="87">
        <f>ABS(Calibration!S18)</f>
        <v>1</v>
      </c>
      <c r="V18" s="88">
        <f>T_0*(10^((O18+DashBoard!$N$6)/10)-1)-N18</f>
        <v>48.445776713374158</v>
      </c>
      <c r="W18" s="87">
        <f>4*T18*NseMeas!T18*Jitter1H1s/SQRT($BZ$4)</f>
        <v>4793754.3748124074</v>
      </c>
      <c r="X18" s="4">
        <f t="shared" si="27"/>
        <v>9791285381.3950119</v>
      </c>
      <c r="Y18" s="4">
        <f>MIN(DashBoard!$N$5/2, X18/2)</f>
        <v>5.5</v>
      </c>
      <c r="Z18" s="86">
        <f>MAX(0.1,Y18/(1+(Calibration!H18*S18/(Calibration!J18*U18))))</f>
        <v>1.3786083802954672</v>
      </c>
      <c r="AA18" s="86">
        <f>MAX(0.1,Y18/(1+((Calibration!J18*U18)/(Calibration!H18*S18))))</f>
        <v>4.121391619704533</v>
      </c>
      <c r="AC18" s="4">
        <f t="shared" si="7"/>
        <v>4.121391619704533</v>
      </c>
      <c r="AD18" s="4">
        <f t="shared" si="8"/>
        <v>5.5</v>
      </c>
      <c r="AE18" s="4">
        <f t="shared" si="9"/>
        <v>1.3786083802954672</v>
      </c>
      <c r="AF18" s="4">
        <f t="shared" si="10"/>
        <v>0.1</v>
      </c>
      <c r="AG18" s="4">
        <f t="shared" si="11"/>
        <v>0.1</v>
      </c>
      <c r="AH18" s="4">
        <f t="shared" si="12"/>
        <v>0.1</v>
      </c>
      <c r="AI18" s="4">
        <f t="shared" si="25"/>
        <v>0.30000000000000004</v>
      </c>
      <c r="AJ18" s="4">
        <f t="shared" si="26"/>
        <v>16.489999999999988</v>
      </c>
      <c r="AK18" s="4">
        <f t="shared" si="28"/>
        <v>10</v>
      </c>
      <c r="AL18" s="4">
        <f t="shared" si="13"/>
        <v>0</v>
      </c>
      <c r="AM18" s="4">
        <f t="shared" si="29"/>
        <v>0</v>
      </c>
      <c r="AN18" s="4">
        <f t="shared" si="30"/>
        <v>0</v>
      </c>
      <c r="AO18" s="4">
        <f t="shared" si="31"/>
        <v>0</v>
      </c>
      <c r="AP18" s="4">
        <f t="shared" si="32"/>
        <v>0</v>
      </c>
      <c r="AQ18" s="4">
        <f t="shared" si="33"/>
        <v>0</v>
      </c>
      <c r="AR18" s="4">
        <f t="shared" si="34"/>
        <v>0</v>
      </c>
      <c r="AS18" s="4">
        <f t="shared" si="35"/>
        <v>0</v>
      </c>
      <c r="AT18" s="4">
        <f t="shared" si="36"/>
        <v>0</v>
      </c>
      <c r="AU18" s="4">
        <f t="shared" si="37"/>
        <v>10</v>
      </c>
      <c r="AV18" s="4">
        <f t="shared" si="38"/>
        <v>0</v>
      </c>
      <c r="AW18" s="4">
        <f t="shared" si="39"/>
        <v>0</v>
      </c>
      <c r="AX18" s="4">
        <f t="shared" si="40"/>
        <v>0</v>
      </c>
      <c r="AY18" s="4">
        <f t="shared" si="41"/>
        <v>0</v>
      </c>
      <c r="AZ18" s="4">
        <f t="shared" si="42"/>
        <v>0</v>
      </c>
      <c r="BA18" s="4">
        <f t="shared" si="43"/>
        <v>0</v>
      </c>
      <c r="BB18" s="4">
        <f t="shared" si="44"/>
        <v>0</v>
      </c>
      <c r="BC18" s="4">
        <f t="shared" si="45"/>
        <v>0</v>
      </c>
      <c r="BD18" s="4">
        <f t="shared" si="46"/>
        <v>0</v>
      </c>
      <c r="BE18" s="4">
        <f t="shared" si="47"/>
        <v>0</v>
      </c>
      <c r="BF18" s="4">
        <f t="shared" si="48"/>
        <v>0</v>
      </c>
      <c r="BH18" s="4">
        <f t="shared" si="14"/>
        <v>18</v>
      </c>
      <c r="BI18" s="4">
        <v>22</v>
      </c>
      <c r="BJ18" s="4">
        <v>-142</v>
      </c>
      <c r="BK18" s="163">
        <v>-147</v>
      </c>
      <c r="BL18" s="4">
        <v>-157</v>
      </c>
      <c r="BM18" s="4">
        <f t="shared" si="15"/>
        <v>-157</v>
      </c>
      <c r="BN18" s="4">
        <v>2.2000000000000002</v>
      </c>
      <c r="BO18" s="4">
        <v>2.2000000000000002</v>
      </c>
      <c r="BP18" s="4">
        <v>2</v>
      </c>
      <c r="BQ18" s="4">
        <f t="shared" si="16"/>
        <v>2</v>
      </c>
      <c r="BR18" s="4">
        <v>20</v>
      </c>
      <c r="BS18" s="4">
        <v>20</v>
      </c>
      <c r="BT18" s="4">
        <v>20</v>
      </c>
      <c r="BU18" s="4">
        <f t="shared" si="17"/>
        <v>20</v>
      </c>
    </row>
    <row r="19" spans="1:73">
      <c r="A19" s="4">
        <f>MIN(StopFreqGHz+0.000001,FieldFox!A18+FreqStep)</f>
        <v>7.4920000000000027</v>
      </c>
      <c r="B19" s="4">
        <f t="shared" si="18"/>
        <v>-160</v>
      </c>
      <c r="C19" s="4">
        <f t="shared" si="19"/>
        <v>1.5</v>
      </c>
      <c r="D19" s="4">
        <f t="shared" si="20"/>
        <v>0.2</v>
      </c>
      <c r="E19" s="86">
        <f>NseMeas!H19</f>
        <v>438.4470651377784</v>
      </c>
      <c r="F19" s="4">
        <f t="shared" si="21"/>
        <v>4.0000000000000009</v>
      </c>
      <c r="G19" s="4">
        <f t="shared" si="22"/>
        <v>20</v>
      </c>
      <c r="H19" s="88">
        <f>10*LOG10(P1dbBWghz*1000000000*NseMeas!J19/NseMeas!BW)</f>
        <v>-33.602765439843182</v>
      </c>
      <c r="I19" s="4" t="b">
        <f t="shared" si="23"/>
        <v>0</v>
      </c>
      <c r="J19" s="87">
        <f>MAX(NseMeas!T19,K19/1000)</f>
        <v>2576280257.7990303</v>
      </c>
      <c r="K19" s="87">
        <f>NseMeas!S19</f>
        <v>5756608272.496315</v>
      </c>
      <c r="L19" s="87">
        <f>NseMeas!X19</f>
        <v>3180328014.6972852</v>
      </c>
      <c r="M19" s="88">
        <f t="shared" si="5"/>
        <v>43.163202203876551</v>
      </c>
      <c r="N19" s="87">
        <f>4*K19*NseMeas!K19*Jitter1H1s/SQRT($BZ$4)</f>
        <v>2.2744089901488342</v>
      </c>
      <c r="O19" s="4">
        <f t="shared" si="24"/>
        <v>0.2</v>
      </c>
      <c r="P19" s="4">
        <f t="shared" si="6"/>
        <v>0.1</v>
      </c>
      <c r="Q19" s="86">
        <f>MAX(0.1,P19/(1+(NseMeas!J19*J19/(NseMeas!L19*L19))))</f>
        <v>0.1</v>
      </c>
      <c r="R19" s="86">
        <f>MAX(0.1,P19/(1+((NseMeas!L19*L19)/(NseMeas!J19*J19))))</f>
        <v>0.1</v>
      </c>
      <c r="S19" s="87">
        <f>MAX(Calibration!Q19,T19/1000)</f>
        <v>6.4485344474614736E-2</v>
      </c>
      <c r="T19" s="87">
        <f>Calibration!P19</f>
        <v>1.0644853444746147</v>
      </c>
      <c r="U19" s="87">
        <f>ABS(Calibration!S19)</f>
        <v>1</v>
      </c>
      <c r="V19" s="88">
        <f>T_0*(10^((O19+DashBoard!$N$6)/10)-1)-N19</f>
        <v>48.445881942314728</v>
      </c>
      <c r="W19" s="87">
        <f>4*T19*NseMeas!T19*Jitter1H1s/SQRT($BZ$4)</f>
        <v>4644603.6842994737</v>
      </c>
      <c r="X19" s="4">
        <f t="shared" si="27"/>
        <v>9191440743.0840321</v>
      </c>
      <c r="Y19" s="4">
        <f>MIN(DashBoard!$N$5/2, X19/2)</f>
        <v>5.5</v>
      </c>
      <c r="Z19" s="86">
        <f>MAX(0.1,Y19/(1+(Calibration!H19*S19/(Calibration!J19*U19))))</f>
        <v>1.34686660795892</v>
      </c>
      <c r="AA19" s="86">
        <f>MAX(0.1,Y19/(1+((Calibration!J19*U19)/(Calibration!H19*S19))))</f>
        <v>4.15313339204108</v>
      </c>
      <c r="AC19" s="4">
        <f t="shared" si="7"/>
        <v>4.15313339204108</v>
      </c>
      <c r="AD19" s="4">
        <f t="shared" si="8"/>
        <v>5.5</v>
      </c>
      <c r="AE19" s="4">
        <f t="shared" si="9"/>
        <v>1.34686660795892</v>
      </c>
      <c r="AF19" s="4">
        <f t="shared" si="10"/>
        <v>0.1</v>
      </c>
      <c r="AG19" s="4">
        <f t="shared" si="11"/>
        <v>0.1</v>
      </c>
      <c r="AH19" s="4">
        <f t="shared" si="12"/>
        <v>0.1</v>
      </c>
      <c r="AI19" s="4">
        <f t="shared" si="25"/>
        <v>0.30000000000000004</v>
      </c>
      <c r="AJ19" s="4">
        <f t="shared" si="26"/>
        <v>16.489999999999988</v>
      </c>
      <c r="AK19" s="4">
        <f t="shared" si="28"/>
        <v>11</v>
      </c>
      <c r="AL19" s="4">
        <f t="shared" si="13"/>
        <v>0</v>
      </c>
      <c r="AM19" s="4">
        <f t="shared" si="29"/>
        <v>0</v>
      </c>
      <c r="AN19" s="4">
        <f t="shared" si="30"/>
        <v>0</v>
      </c>
      <c r="AO19" s="4">
        <f t="shared" si="31"/>
        <v>0</v>
      </c>
      <c r="AP19" s="4">
        <f t="shared" si="32"/>
        <v>0</v>
      </c>
      <c r="AQ19" s="4">
        <f t="shared" si="33"/>
        <v>0</v>
      </c>
      <c r="AR19" s="4">
        <f t="shared" si="34"/>
        <v>0</v>
      </c>
      <c r="AS19" s="4">
        <f t="shared" si="35"/>
        <v>0</v>
      </c>
      <c r="AT19" s="4">
        <f t="shared" si="36"/>
        <v>0</v>
      </c>
      <c r="AU19" s="4">
        <f t="shared" si="37"/>
        <v>0</v>
      </c>
      <c r="AV19" s="4">
        <f t="shared" si="38"/>
        <v>11</v>
      </c>
      <c r="AW19" s="4">
        <f t="shared" si="39"/>
        <v>0</v>
      </c>
      <c r="AX19" s="4">
        <f t="shared" si="40"/>
        <v>0</v>
      </c>
      <c r="AY19" s="4">
        <f t="shared" si="41"/>
        <v>0</v>
      </c>
      <c r="AZ19" s="4">
        <f t="shared" si="42"/>
        <v>0</v>
      </c>
      <c r="BA19" s="4">
        <f t="shared" si="43"/>
        <v>0</v>
      </c>
      <c r="BB19" s="4">
        <f t="shared" si="44"/>
        <v>0</v>
      </c>
      <c r="BC19" s="4">
        <f t="shared" si="45"/>
        <v>0</v>
      </c>
      <c r="BD19" s="4">
        <f t="shared" si="46"/>
        <v>0</v>
      </c>
      <c r="BE19" s="4">
        <f t="shared" si="47"/>
        <v>0</v>
      </c>
      <c r="BF19" s="4">
        <f t="shared" si="48"/>
        <v>0</v>
      </c>
      <c r="BH19" s="4">
        <f t="shared" si="14"/>
        <v>22</v>
      </c>
      <c r="BI19" s="4">
        <v>25</v>
      </c>
      <c r="BJ19" s="4">
        <v>-134</v>
      </c>
      <c r="BK19" s="163">
        <v>-145</v>
      </c>
      <c r="BL19" s="4">
        <v>-155</v>
      </c>
      <c r="BM19" s="4">
        <f t="shared" si="15"/>
        <v>-155</v>
      </c>
      <c r="BN19" s="4">
        <v>2.2000000000000002</v>
      </c>
      <c r="BO19" s="4">
        <v>2.2000000000000002</v>
      </c>
      <c r="BP19" s="4">
        <v>2</v>
      </c>
      <c r="BQ19" s="4">
        <f t="shared" si="16"/>
        <v>2</v>
      </c>
      <c r="BR19" s="4">
        <v>20</v>
      </c>
      <c r="BS19" s="4">
        <v>20</v>
      </c>
      <c r="BT19" s="4">
        <v>20</v>
      </c>
      <c r="BU19" s="4">
        <f t="shared" si="17"/>
        <v>20</v>
      </c>
    </row>
    <row r="20" spans="1:73">
      <c r="A20" s="4">
        <f>MIN(StopFreqGHz+0.000001,FieldFox!A19+FreqStep)</f>
        <v>8.0200000000000031</v>
      </c>
      <c r="B20" s="4">
        <f t="shared" si="18"/>
        <v>-161</v>
      </c>
      <c r="C20" s="4">
        <f t="shared" si="19"/>
        <v>2</v>
      </c>
      <c r="D20" s="4">
        <f t="shared" si="20"/>
        <v>0.33333333333333331</v>
      </c>
      <c r="E20" s="86">
        <f>NseMeas!H20</f>
        <v>438.4470651377784</v>
      </c>
      <c r="F20" s="4">
        <f t="shared" si="21"/>
        <v>4.0000000000000009</v>
      </c>
      <c r="G20" s="4">
        <f t="shared" si="22"/>
        <v>20</v>
      </c>
      <c r="H20" s="88">
        <f>10*LOG10(P1dbBWghz*1000000000*NseMeas!J20/NseMeas!BW)</f>
        <v>-33.466169856971575</v>
      </c>
      <c r="I20" s="4" t="b">
        <f t="shared" si="23"/>
        <v>0</v>
      </c>
      <c r="J20" s="87">
        <f>MAX(NseMeas!T20,K20/1000)</f>
        <v>2496122888.8826842</v>
      </c>
      <c r="K20" s="87">
        <f>NseMeas!S20</f>
        <v>5577493348.9560194</v>
      </c>
      <c r="L20" s="87">
        <f>NseMeas!X20</f>
        <v>3081370460.0733352</v>
      </c>
      <c r="M20" s="88">
        <f t="shared" si="5"/>
        <v>43.163202203876551</v>
      </c>
      <c r="N20" s="87">
        <f>4*K20*NseMeas!K20*Jitter1H1s/SQRT($BZ$4)</f>
        <v>2.2736134532597303</v>
      </c>
      <c r="O20" s="4">
        <f t="shared" si="24"/>
        <v>0.2</v>
      </c>
      <c r="P20" s="4">
        <f t="shared" si="6"/>
        <v>0.1</v>
      </c>
      <c r="Q20" s="86">
        <f>MAX(0.1,P20/(1+(NseMeas!J20*J20/(NseMeas!L20*L20))))</f>
        <v>0.1</v>
      </c>
      <c r="R20" s="86">
        <f>MAX(0.1,P20/(1+((NseMeas!L20*L20)/(NseMeas!J20*J20))))</f>
        <v>0.1</v>
      </c>
      <c r="S20" s="87">
        <f>MAX(Calibration!Q20,T20/1000)</f>
        <v>6.4485344474614736E-2</v>
      </c>
      <c r="T20" s="87">
        <f>Calibration!P20</f>
        <v>1.0644853444746147</v>
      </c>
      <c r="U20" s="87">
        <f>ABS(Calibration!S20)</f>
        <v>1</v>
      </c>
      <c r="V20" s="88">
        <f>T_0*(10^((O20+DashBoard!$N$6)/10)-1)-N20</f>
        <v>48.446677479203835</v>
      </c>
      <c r="W20" s="87">
        <f>4*T20*NseMeas!T20*Jitter1H1s/SQRT($BZ$4)</f>
        <v>4500093.3151866524</v>
      </c>
      <c r="X20" s="4">
        <f t="shared" si="27"/>
        <v>8628097476.1112061</v>
      </c>
      <c r="Y20" s="4">
        <f>MIN(DashBoard!$N$5/2, X20/2)</f>
        <v>5.5</v>
      </c>
      <c r="Z20" s="86">
        <f>MAX(0.1,Y20/(1+(Calibration!H20*S20/(Calibration!J20*U20))))</f>
        <v>1.1029576041048048</v>
      </c>
      <c r="AA20" s="86">
        <f>MAX(0.1,Y20/(1+((Calibration!J20*U20)/(Calibration!H20*S20))))</f>
        <v>4.3970423958951947</v>
      </c>
      <c r="AC20" s="4">
        <f t="shared" si="7"/>
        <v>4.3970423958951947</v>
      </c>
      <c r="AD20" s="4">
        <f t="shared" si="8"/>
        <v>5.5</v>
      </c>
      <c r="AE20" s="4">
        <f t="shared" si="9"/>
        <v>1.1029576041048048</v>
      </c>
      <c r="AF20" s="4">
        <f t="shared" si="10"/>
        <v>0.1</v>
      </c>
      <c r="AG20" s="4">
        <f t="shared" si="11"/>
        <v>0.1</v>
      </c>
      <c r="AH20" s="4">
        <f t="shared" si="12"/>
        <v>0.1</v>
      </c>
      <c r="AI20" s="4">
        <f t="shared" si="25"/>
        <v>0.30000000000000004</v>
      </c>
      <c r="AJ20" s="4">
        <f t="shared" si="26"/>
        <v>15.48999999999999</v>
      </c>
      <c r="AK20" s="4">
        <f t="shared" si="28"/>
        <v>12</v>
      </c>
      <c r="AL20" s="4">
        <f t="shared" si="13"/>
        <v>0</v>
      </c>
      <c r="AM20" s="4">
        <f t="shared" si="29"/>
        <v>0</v>
      </c>
      <c r="AN20" s="4">
        <f t="shared" si="30"/>
        <v>0</v>
      </c>
      <c r="AO20" s="4">
        <f t="shared" si="31"/>
        <v>0</v>
      </c>
      <c r="AP20" s="4">
        <f t="shared" si="32"/>
        <v>0</v>
      </c>
      <c r="AQ20" s="4">
        <f t="shared" si="33"/>
        <v>0</v>
      </c>
      <c r="AR20" s="4">
        <f t="shared" si="34"/>
        <v>0</v>
      </c>
      <c r="AS20" s="4">
        <f t="shared" si="35"/>
        <v>0</v>
      </c>
      <c r="AT20" s="4">
        <f t="shared" si="36"/>
        <v>0</v>
      </c>
      <c r="AU20" s="4">
        <f t="shared" si="37"/>
        <v>0</v>
      </c>
      <c r="AV20" s="4">
        <f t="shared" si="38"/>
        <v>0</v>
      </c>
      <c r="AW20" s="4">
        <f t="shared" si="39"/>
        <v>12</v>
      </c>
      <c r="AX20" s="4">
        <f t="shared" si="40"/>
        <v>0</v>
      </c>
      <c r="AY20" s="4">
        <f t="shared" si="41"/>
        <v>0</v>
      </c>
      <c r="AZ20" s="4">
        <f t="shared" si="42"/>
        <v>0</v>
      </c>
      <c r="BA20" s="4">
        <f t="shared" si="43"/>
        <v>0</v>
      </c>
      <c r="BB20" s="4">
        <f t="shared" si="44"/>
        <v>0</v>
      </c>
      <c r="BC20" s="4">
        <f t="shared" si="45"/>
        <v>0</v>
      </c>
      <c r="BD20" s="4">
        <f t="shared" si="46"/>
        <v>0</v>
      </c>
      <c r="BE20" s="4">
        <f t="shared" si="47"/>
        <v>0</v>
      </c>
      <c r="BF20" s="4">
        <f t="shared" si="48"/>
        <v>0</v>
      </c>
      <c r="BH20" s="4">
        <f t="shared" si="14"/>
        <v>25</v>
      </c>
      <c r="BI20" s="163">
        <v>26.51</v>
      </c>
      <c r="BJ20" s="4">
        <v>-129</v>
      </c>
      <c r="BK20" s="163">
        <v>-145</v>
      </c>
      <c r="BL20" s="4">
        <v>-152</v>
      </c>
      <c r="BM20" s="4">
        <f t="shared" si="15"/>
        <v>-152</v>
      </c>
      <c r="BN20" s="4">
        <v>2.2000000000000002</v>
      </c>
      <c r="BO20" s="4">
        <v>2.2000000000000002</v>
      </c>
      <c r="BP20" s="4">
        <v>2</v>
      </c>
      <c r="BQ20" s="4">
        <f t="shared" si="16"/>
        <v>2</v>
      </c>
      <c r="BR20" s="4">
        <v>20</v>
      </c>
      <c r="BS20" s="4">
        <v>20</v>
      </c>
      <c r="BT20" s="4">
        <v>20</v>
      </c>
      <c r="BU20" s="4">
        <f t="shared" si="17"/>
        <v>20</v>
      </c>
    </row>
    <row r="21" spans="1:73">
      <c r="A21" s="4">
        <f>MIN(StopFreqGHz+0.000001,FieldFox!A20+FreqStep)</f>
        <v>8.5480000000000036</v>
      </c>
      <c r="B21" s="4">
        <f t="shared" si="18"/>
        <v>-161</v>
      </c>
      <c r="C21" s="4">
        <f t="shared" si="19"/>
        <v>2</v>
      </c>
      <c r="D21" s="4">
        <f t="shared" si="20"/>
        <v>0.33333333333333331</v>
      </c>
      <c r="E21" s="86">
        <f>NseMeas!H21</f>
        <v>438.4470651377784</v>
      </c>
      <c r="F21" s="4">
        <f t="shared" si="21"/>
        <v>4.0000000000000009</v>
      </c>
      <c r="G21" s="4">
        <f t="shared" si="22"/>
        <v>20</v>
      </c>
      <c r="H21" s="88">
        <f>10*LOG10(P1dbBWghz*1000000000*NseMeas!J21/NseMeas!BW)</f>
        <v>-33.328957783875275</v>
      </c>
      <c r="I21" s="4" t="b">
        <f t="shared" si="23"/>
        <v>0</v>
      </c>
      <c r="J21" s="87">
        <f>MAX(NseMeas!T21,K21/1000)</f>
        <v>2418459356.226644</v>
      </c>
      <c r="K21" s="87">
        <f>NseMeas!S21</f>
        <v>5403951377.2804241</v>
      </c>
      <c r="L21" s="87">
        <f>NseMeas!X21</f>
        <v>2985492021.0537796</v>
      </c>
      <c r="M21" s="88">
        <f t="shared" si="5"/>
        <v>43.163202203876551</v>
      </c>
      <c r="N21" s="87">
        <f>4*K21*NseMeas!K21*Jitter1H1s/SQRT($BZ$4)</f>
        <v>2.2735362511779282</v>
      </c>
      <c r="O21" s="4">
        <f t="shared" si="24"/>
        <v>0.2</v>
      </c>
      <c r="P21" s="4">
        <f t="shared" si="6"/>
        <v>0.1</v>
      </c>
      <c r="Q21" s="86">
        <f>MAX(0.1,P21/(1+(NseMeas!J21*J21/(NseMeas!L21*L21))))</f>
        <v>0.1</v>
      </c>
      <c r="R21" s="86">
        <f>MAX(0.1,P21/(1+((NseMeas!L21*L21)/(NseMeas!J21*J21))))</f>
        <v>0.1</v>
      </c>
      <c r="S21" s="87">
        <f>MAX(Calibration!Q21,T21/1000)</f>
        <v>6.4485344474614736E-2</v>
      </c>
      <c r="T21" s="87">
        <f>Calibration!P21</f>
        <v>1.0644853444746147</v>
      </c>
      <c r="U21" s="87">
        <f>ABS(Calibration!S21)</f>
        <v>1</v>
      </c>
      <c r="V21" s="88">
        <f>T_0*(10^((O21+DashBoard!$N$6)/10)-1)-N21</f>
        <v>48.446754681285633</v>
      </c>
      <c r="W21" s="87">
        <f>4*T21*NseMeas!T21*Jitter1H1s/SQRT($BZ$4)</f>
        <v>4360078.9169790121</v>
      </c>
      <c r="X21" s="4">
        <f t="shared" si="27"/>
        <v>8099520701.9078121</v>
      </c>
      <c r="Y21" s="4">
        <f>MIN(DashBoard!$N$5/2, X21/2)</f>
        <v>5.5</v>
      </c>
      <c r="Z21" s="86">
        <f>MAX(0.1,Y21/(1+(Calibration!H21*S21/(Calibration!J21*U21))))</f>
        <v>1.07576169959093</v>
      </c>
      <c r="AA21" s="86">
        <f>MAX(0.1,Y21/(1+((Calibration!J21*U21)/(Calibration!H21*S21))))</f>
        <v>4.42423830040907</v>
      </c>
      <c r="AC21" s="4">
        <f t="shared" si="7"/>
        <v>4.42423830040907</v>
      </c>
      <c r="AD21" s="4">
        <f t="shared" si="8"/>
        <v>5.5</v>
      </c>
      <c r="AE21" s="4">
        <f t="shared" si="9"/>
        <v>1.07576169959093</v>
      </c>
      <c r="AF21" s="4">
        <f t="shared" si="10"/>
        <v>0.1</v>
      </c>
      <c r="AG21" s="4">
        <f t="shared" si="11"/>
        <v>0.1</v>
      </c>
      <c r="AH21" s="4">
        <f t="shared" si="12"/>
        <v>0.1</v>
      </c>
      <c r="AI21" s="4">
        <f t="shared" si="25"/>
        <v>0.30000000000000004</v>
      </c>
      <c r="AJ21" s="4">
        <f t="shared" si="26"/>
        <v>15.48999999999999</v>
      </c>
      <c r="AK21" s="4">
        <f t="shared" si="28"/>
        <v>12</v>
      </c>
      <c r="AL21" s="4">
        <f t="shared" si="13"/>
        <v>0</v>
      </c>
      <c r="AM21" s="4">
        <f t="shared" si="29"/>
        <v>0</v>
      </c>
      <c r="AN21" s="4">
        <f t="shared" si="30"/>
        <v>0</v>
      </c>
      <c r="AO21" s="4">
        <f t="shared" si="31"/>
        <v>0</v>
      </c>
      <c r="AP21" s="4">
        <f t="shared" si="32"/>
        <v>0</v>
      </c>
      <c r="AQ21" s="4">
        <f t="shared" si="33"/>
        <v>0</v>
      </c>
      <c r="AR21" s="4">
        <f t="shared" si="34"/>
        <v>0</v>
      </c>
      <c r="AS21" s="4">
        <f t="shared" si="35"/>
        <v>0</v>
      </c>
      <c r="AT21" s="4">
        <f t="shared" si="36"/>
        <v>0</v>
      </c>
      <c r="AU21" s="4">
        <f t="shared" si="37"/>
        <v>0</v>
      </c>
      <c r="AV21" s="4">
        <f t="shared" si="38"/>
        <v>0</v>
      </c>
      <c r="AW21" s="4">
        <f t="shared" si="39"/>
        <v>12</v>
      </c>
      <c r="AX21" s="4">
        <f t="shared" si="40"/>
        <v>0</v>
      </c>
      <c r="AY21" s="4">
        <f t="shared" si="41"/>
        <v>0</v>
      </c>
      <c r="AZ21" s="4">
        <f t="shared" si="42"/>
        <v>0</v>
      </c>
      <c r="BA21" s="4">
        <f t="shared" si="43"/>
        <v>0</v>
      </c>
      <c r="BB21" s="4">
        <f t="shared" si="44"/>
        <v>0</v>
      </c>
      <c r="BC21" s="4">
        <f t="shared" si="45"/>
        <v>0</v>
      </c>
      <c r="BD21" s="4">
        <f t="shared" si="46"/>
        <v>0</v>
      </c>
      <c r="BE21" s="4">
        <f t="shared" si="47"/>
        <v>0</v>
      </c>
      <c r="BF21" s="4">
        <f t="shared" si="48"/>
        <v>0</v>
      </c>
      <c r="BH21" s="163">
        <f t="shared" si="14"/>
        <v>26.51</v>
      </c>
      <c r="BI21" s="4">
        <v>35</v>
      </c>
      <c r="BJ21" s="162">
        <v>-100</v>
      </c>
      <c r="BK21" s="163">
        <v>-145</v>
      </c>
      <c r="BL21" s="162">
        <v>-100</v>
      </c>
      <c r="BM21" s="4">
        <f t="shared" si="15"/>
        <v>-100</v>
      </c>
      <c r="BN21" s="162">
        <v>3</v>
      </c>
      <c r="BO21" s="4">
        <v>2.2000000000000002</v>
      </c>
      <c r="BP21" s="162">
        <v>3</v>
      </c>
      <c r="BQ21" s="4">
        <f t="shared" si="16"/>
        <v>3</v>
      </c>
      <c r="BR21" s="4">
        <v>20</v>
      </c>
      <c r="BS21" s="4">
        <v>20</v>
      </c>
      <c r="BT21" s="4">
        <v>20</v>
      </c>
      <c r="BU21" s="4">
        <f t="shared" si="17"/>
        <v>20</v>
      </c>
    </row>
    <row r="22" spans="1:73">
      <c r="A22" s="4">
        <f>MIN(StopFreqGHz+0.000001,FieldFox!A21+FreqStep)</f>
        <v>9.0760000000000041</v>
      </c>
      <c r="B22" s="4">
        <f t="shared" si="18"/>
        <v>-161</v>
      </c>
      <c r="C22" s="4">
        <f t="shared" si="19"/>
        <v>2</v>
      </c>
      <c r="D22" s="4">
        <f t="shared" si="20"/>
        <v>0.33333333333333331</v>
      </c>
      <c r="E22" s="86">
        <f>NseMeas!H22</f>
        <v>438.4470651377784</v>
      </c>
      <c r="F22" s="4">
        <f t="shared" si="21"/>
        <v>4.0000000000000009</v>
      </c>
      <c r="G22" s="4">
        <f t="shared" si="22"/>
        <v>20</v>
      </c>
      <c r="H22" s="88">
        <f>10*LOG10(P1dbBWghz*1000000000*NseMeas!J22/NseMeas!BW)</f>
        <v>-33.191743598211531</v>
      </c>
      <c r="I22" s="4" t="b">
        <f t="shared" si="23"/>
        <v>0</v>
      </c>
      <c r="J22" s="87">
        <f>MAX(NseMeas!T22,K22/1000)</f>
        <v>2343212081.3134861</v>
      </c>
      <c r="K22" s="87">
        <f>NseMeas!S22</f>
        <v>5235808970.6740932</v>
      </c>
      <c r="L22" s="87">
        <f>NseMeas!X22</f>
        <v>2892596889.3606071</v>
      </c>
      <c r="M22" s="88">
        <f t="shared" si="5"/>
        <v>43.163202203876551</v>
      </c>
      <c r="N22" s="87">
        <f>4*K22*NseMeas!K22*Jitter1H1s/SQRT($BZ$4)</f>
        <v>2.2734614511497022</v>
      </c>
      <c r="O22" s="4">
        <f t="shared" si="24"/>
        <v>0.2</v>
      </c>
      <c r="P22" s="4">
        <f t="shared" si="6"/>
        <v>0.1</v>
      </c>
      <c r="Q22" s="86">
        <f>MAX(0.1,P22/(1+(NseMeas!J22*J22/(NseMeas!L22*L22))))</f>
        <v>0.1</v>
      </c>
      <c r="R22" s="86">
        <f>MAX(0.1,P22/(1+((NseMeas!L22*L22)/(NseMeas!J22*J22))))</f>
        <v>0.1</v>
      </c>
      <c r="S22" s="87">
        <f>MAX(Calibration!Q22,T22/1000)</f>
        <v>6.4485344474614736E-2</v>
      </c>
      <c r="T22" s="87">
        <f>Calibration!P22</f>
        <v>1.0644853444746147</v>
      </c>
      <c r="U22" s="87">
        <f>ABS(Calibration!S22)</f>
        <v>1</v>
      </c>
      <c r="V22" s="88">
        <f>T_0*(10^((O22+DashBoard!$N$6)/10)-1)-N22</f>
        <v>48.446829481313863</v>
      </c>
      <c r="W22" s="87">
        <f>4*T22*NseMeas!T22*Jitter1H1s/SQRT($BZ$4)</f>
        <v>4224420.6285466319</v>
      </c>
      <c r="X22" s="4">
        <f t="shared" si="27"/>
        <v>7603325586.0206566</v>
      </c>
      <c r="Y22" s="4">
        <f>MIN(DashBoard!$N$5/2, X22/2)</f>
        <v>5.5</v>
      </c>
      <c r="Z22" s="86">
        <f>MAX(0.1,Y22/(1+(Calibration!H22*S22/(Calibration!J22*U22))))</f>
        <v>1.0490639502174206</v>
      </c>
      <c r="AA22" s="86">
        <f>MAX(0.1,Y22/(1+((Calibration!J22*U22)/(Calibration!H22*S22))))</f>
        <v>4.4509360497825794</v>
      </c>
      <c r="AC22" s="4">
        <f t="shared" si="7"/>
        <v>4.4509360497825794</v>
      </c>
      <c r="AD22" s="4">
        <f t="shared" si="8"/>
        <v>5.5</v>
      </c>
      <c r="AE22" s="4">
        <f t="shared" si="9"/>
        <v>1.0490639502174206</v>
      </c>
      <c r="AF22" s="4">
        <f t="shared" si="10"/>
        <v>0.1</v>
      </c>
      <c r="AG22" s="4">
        <f t="shared" si="11"/>
        <v>0.1</v>
      </c>
      <c r="AH22" s="4">
        <f t="shared" si="12"/>
        <v>0.1</v>
      </c>
      <c r="AI22" s="4">
        <f t="shared" si="25"/>
        <v>0.30000000000000004</v>
      </c>
      <c r="AJ22" s="4">
        <f t="shared" si="26"/>
        <v>15.48999999999999</v>
      </c>
      <c r="AK22" s="4">
        <f t="shared" si="28"/>
        <v>12</v>
      </c>
      <c r="AL22" s="4">
        <f t="shared" si="13"/>
        <v>0</v>
      </c>
      <c r="AM22" s="4">
        <f t="shared" si="29"/>
        <v>0</v>
      </c>
      <c r="AN22" s="4">
        <f t="shared" si="30"/>
        <v>0</v>
      </c>
      <c r="AO22" s="4">
        <f t="shared" si="31"/>
        <v>0</v>
      </c>
      <c r="AP22" s="4">
        <f t="shared" si="32"/>
        <v>0</v>
      </c>
      <c r="AQ22" s="4">
        <f t="shared" si="33"/>
        <v>0</v>
      </c>
      <c r="AR22" s="4">
        <f t="shared" si="34"/>
        <v>0</v>
      </c>
      <c r="AS22" s="4">
        <f t="shared" si="35"/>
        <v>0</v>
      </c>
      <c r="AT22" s="4">
        <f t="shared" si="36"/>
        <v>0</v>
      </c>
      <c r="AU22" s="4">
        <f t="shared" si="37"/>
        <v>0</v>
      </c>
      <c r="AV22" s="4">
        <f t="shared" si="38"/>
        <v>0</v>
      </c>
      <c r="AW22" s="4">
        <f t="shared" si="39"/>
        <v>12</v>
      </c>
      <c r="AX22" s="4">
        <f t="shared" si="40"/>
        <v>0</v>
      </c>
      <c r="AY22" s="4">
        <f t="shared" si="41"/>
        <v>0</v>
      </c>
      <c r="AZ22" s="4">
        <f t="shared" si="42"/>
        <v>0</v>
      </c>
      <c r="BA22" s="4">
        <f t="shared" si="43"/>
        <v>0</v>
      </c>
      <c r="BB22" s="4">
        <f t="shared" si="44"/>
        <v>0</v>
      </c>
      <c r="BC22" s="4">
        <f t="shared" si="45"/>
        <v>0</v>
      </c>
      <c r="BD22" s="4">
        <f t="shared" si="46"/>
        <v>0</v>
      </c>
      <c r="BE22" s="4">
        <f t="shared" si="47"/>
        <v>0</v>
      </c>
      <c r="BF22" s="4">
        <f t="shared" si="48"/>
        <v>0</v>
      </c>
      <c r="BH22" s="4">
        <f t="shared" si="14"/>
        <v>35</v>
      </c>
      <c r="BI22" s="4">
        <v>40</v>
      </c>
      <c r="BJ22" s="162">
        <v>-100</v>
      </c>
      <c r="BK22" s="163">
        <v>-141</v>
      </c>
      <c r="BL22" s="162">
        <v>-100</v>
      </c>
      <c r="BM22" s="4">
        <f t="shared" si="15"/>
        <v>-100</v>
      </c>
      <c r="BN22" s="162">
        <v>3</v>
      </c>
      <c r="BO22" s="4">
        <v>2.2000000000000002</v>
      </c>
      <c r="BP22" s="162">
        <v>3</v>
      </c>
      <c r="BQ22" s="4">
        <f t="shared" si="16"/>
        <v>3</v>
      </c>
      <c r="BR22" s="4">
        <v>20</v>
      </c>
      <c r="BS22" s="4">
        <v>20</v>
      </c>
      <c r="BT22" s="4">
        <v>20</v>
      </c>
      <c r="BU22" s="4">
        <f t="shared" si="17"/>
        <v>20</v>
      </c>
    </row>
    <row r="23" spans="1:73">
      <c r="A23" s="4">
        <f>MIN(StopFreqGHz+0.000001,FieldFox!A22+FreqStep)</f>
        <v>9.6040000000000045</v>
      </c>
      <c r="B23" s="4">
        <f t="shared" si="18"/>
        <v>-161</v>
      </c>
      <c r="C23" s="4">
        <f t="shared" si="19"/>
        <v>2</v>
      </c>
      <c r="D23" s="4">
        <f t="shared" si="20"/>
        <v>0.33333333333333331</v>
      </c>
      <c r="E23" s="86">
        <f>NseMeas!H23</f>
        <v>438.4470651377784</v>
      </c>
      <c r="F23" s="4">
        <f t="shared" si="21"/>
        <v>4.0000000000000009</v>
      </c>
      <c r="G23" s="4">
        <f t="shared" si="22"/>
        <v>20</v>
      </c>
      <c r="H23" s="88">
        <f>10*LOG10(P1dbBWghz*1000000000*NseMeas!J23/NseMeas!BW)</f>
        <v>-33.054527365651914</v>
      </c>
      <c r="I23" s="4" t="b">
        <f t="shared" si="23"/>
        <v>0</v>
      </c>
      <c r="J23" s="87">
        <f>MAX(NseMeas!T23,K23/1000)</f>
        <v>2270305898.3887763</v>
      </c>
      <c r="K23" s="87">
        <f>NseMeas!S23</f>
        <v>5072898136.2287998</v>
      </c>
      <c r="L23" s="87">
        <f>NseMeas!X23</f>
        <v>2802592237.8400245</v>
      </c>
      <c r="M23" s="88">
        <f t="shared" si="5"/>
        <v>43.163202203876551</v>
      </c>
      <c r="N23" s="87">
        <f>4*K23*NseMeas!K23*Jitter1H1s/SQRT($BZ$4)</f>
        <v>2.2733889784418233</v>
      </c>
      <c r="O23" s="4">
        <f t="shared" si="24"/>
        <v>0.2</v>
      </c>
      <c r="P23" s="4">
        <f t="shared" si="6"/>
        <v>0.1</v>
      </c>
      <c r="Q23" s="86">
        <f>MAX(0.1,P23/(1+(NseMeas!J23*J23/(NseMeas!L23*L23))))</f>
        <v>0.1</v>
      </c>
      <c r="R23" s="86">
        <f>MAX(0.1,P23/(1+((NseMeas!L23*L23)/(NseMeas!J23*J23))))</f>
        <v>0.1</v>
      </c>
      <c r="S23" s="87">
        <f>MAX(Calibration!Q23,T23/1000)</f>
        <v>6.4485344474614736E-2</v>
      </c>
      <c r="T23" s="87">
        <f>Calibration!P23</f>
        <v>1.0644853444746147</v>
      </c>
      <c r="U23" s="87">
        <f>ABS(Calibration!S23)</f>
        <v>1</v>
      </c>
      <c r="V23" s="88">
        <f>T_0*(10^((O23+DashBoard!$N$6)/10)-1)-N23</f>
        <v>48.44690195402174</v>
      </c>
      <c r="W23" s="87">
        <f>4*T23*NseMeas!T23*Jitter1H1s/SQRT($BZ$4)</f>
        <v>4092982.9385689083</v>
      </c>
      <c r="X23" s="4">
        <f t="shared" si="27"/>
        <v>7137528377.6885843</v>
      </c>
      <c r="Y23" s="4">
        <f>MIN(DashBoard!$N$5/2, X23/2)</f>
        <v>5.5</v>
      </c>
      <c r="Z23" s="86">
        <f>MAX(0.1,Y23/(1+(Calibration!H23*S23/(Calibration!J23*U23))))</f>
        <v>1.0228637646320906</v>
      </c>
      <c r="AA23" s="86">
        <f>MAX(0.1,Y23/(1+((Calibration!J23*U23)/(Calibration!H23*S23))))</f>
        <v>4.4771362353679089</v>
      </c>
      <c r="AC23" s="4">
        <f t="shared" si="7"/>
        <v>4.4771362353679089</v>
      </c>
      <c r="AD23" s="4">
        <f t="shared" si="8"/>
        <v>5.5</v>
      </c>
      <c r="AE23" s="4">
        <f t="shared" si="9"/>
        <v>1.0228637646320906</v>
      </c>
      <c r="AF23" s="4">
        <f t="shared" si="10"/>
        <v>0.1</v>
      </c>
      <c r="AG23" s="4">
        <f t="shared" si="11"/>
        <v>0.1</v>
      </c>
      <c r="AH23" s="4">
        <f t="shared" si="12"/>
        <v>0.1</v>
      </c>
      <c r="AI23" s="4">
        <f t="shared" si="25"/>
        <v>0.30000000000000004</v>
      </c>
      <c r="AJ23" s="4">
        <f t="shared" si="26"/>
        <v>15.48999999999999</v>
      </c>
      <c r="AK23" s="4">
        <f t="shared" si="28"/>
        <v>12</v>
      </c>
      <c r="AL23" s="4">
        <f t="shared" si="13"/>
        <v>0</v>
      </c>
      <c r="AM23" s="4">
        <f t="shared" si="29"/>
        <v>0</v>
      </c>
      <c r="AN23" s="4">
        <f t="shared" si="30"/>
        <v>0</v>
      </c>
      <c r="AO23" s="4">
        <f t="shared" si="31"/>
        <v>0</v>
      </c>
      <c r="AP23" s="4">
        <f t="shared" si="32"/>
        <v>0</v>
      </c>
      <c r="AQ23" s="4">
        <f t="shared" si="33"/>
        <v>0</v>
      </c>
      <c r="AR23" s="4">
        <f t="shared" si="34"/>
        <v>0</v>
      </c>
      <c r="AS23" s="4">
        <f t="shared" si="35"/>
        <v>0</v>
      </c>
      <c r="AT23" s="4">
        <f t="shared" si="36"/>
        <v>0</v>
      </c>
      <c r="AU23" s="4">
        <f t="shared" si="37"/>
        <v>0</v>
      </c>
      <c r="AV23" s="4">
        <f t="shared" si="38"/>
        <v>0</v>
      </c>
      <c r="AW23" s="4">
        <f t="shared" si="39"/>
        <v>12</v>
      </c>
      <c r="AX23" s="4">
        <f t="shared" si="40"/>
        <v>0</v>
      </c>
      <c r="AY23" s="4">
        <f t="shared" si="41"/>
        <v>0</v>
      </c>
      <c r="AZ23" s="4">
        <f t="shared" si="42"/>
        <v>0</v>
      </c>
      <c r="BA23" s="4">
        <f t="shared" si="43"/>
        <v>0</v>
      </c>
      <c r="BB23" s="4">
        <f t="shared" si="44"/>
        <v>0</v>
      </c>
      <c r="BC23" s="4">
        <f t="shared" si="45"/>
        <v>0</v>
      </c>
      <c r="BD23" s="4">
        <f t="shared" si="46"/>
        <v>0</v>
      </c>
      <c r="BE23" s="4">
        <f t="shared" si="47"/>
        <v>0</v>
      </c>
      <c r="BF23" s="4">
        <f t="shared" si="48"/>
        <v>0</v>
      </c>
      <c r="BH23" s="4">
        <f t="shared" si="14"/>
        <v>40</v>
      </c>
      <c r="BI23" s="4">
        <v>46</v>
      </c>
      <c r="BJ23" s="162">
        <v>-100</v>
      </c>
      <c r="BK23" s="163">
        <v>-135</v>
      </c>
      <c r="BL23" s="162">
        <v>-100</v>
      </c>
      <c r="BM23" s="4">
        <f t="shared" si="15"/>
        <v>-100</v>
      </c>
      <c r="BN23" s="162">
        <v>3</v>
      </c>
      <c r="BO23" s="4">
        <v>2.2000000000000002</v>
      </c>
      <c r="BP23" s="162">
        <v>3</v>
      </c>
      <c r="BQ23" s="4">
        <f t="shared" si="16"/>
        <v>3</v>
      </c>
      <c r="BR23" s="4">
        <v>20</v>
      </c>
      <c r="BS23" s="4">
        <v>20</v>
      </c>
      <c r="BT23" s="4">
        <v>20</v>
      </c>
      <c r="BU23" s="4">
        <f t="shared" si="17"/>
        <v>20</v>
      </c>
    </row>
    <row r="24" spans="1:73">
      <c r="A24" s="4">
        <f>MIN(StopFreqGHz+0.000001,FieldFox!A23+FreqStep)</f>
        <v>10.132000000000005</v>
      </c>
      <c r="B24" s="4">
        <f t="shared" si="18"/>
        <v>-161</v>
      </c>
      <c r="C24" s="4">
        <f t="shared" si="19"/>
        <v>2</v>
      </c>
      <c r="D24" s="4">
        <f t="shared" si="20"/>
        <v>0.33333333333333331</v>
      </c>
      <c r="E24" s="86">
        <f>NseMeas!H24</f>
        <v>438.4470651377784</v>
      </c>
      <c r="F24" s="4">
        <f t="shared" si="21"/>
        <v>4.0000000000000009</v>
      </c>
      <c r="G24" s="4">
        <f t="shared" si="22"/>
        <v>20</v>
      </c>
      <c r="H24" s="88">
        <f>10*LOG10(P1dbBWghz*1000000000*NseMeas!J24/NseMeas!BW)</f>
        <v>-32.917309149828405</v>
      </c>
      <c r="I24" s="4" t="b">
        <f t="shared" si="23"/>
        <v>0</v>
      </c>
      <c r="J24" s="87">
        <f>MAX(NseMeas!T24,K24/1000)</f>
        <v>2199667979.4561238</v>
      </c>
      <c r="K24" s="87">
        <f>NseMeas!S24</f>
        <v>4915056107.15938</v>
      </c>
      <c r="L24" s="87">
        <f>NseMeas!X24</f>
        <v>2715388127.7032557</v>
      </c>
      <c r="M24" s="88">
        <f t="shared" si="5"/>
        <v>43.163202203876551</v>
      </c>
      <c r="N24" s="87">
        <f>4*K24*NseMeas!K24*Jitter1H1s/SQRT($BZ$4)</f>
        <v>2.2733187606459486</v>
      </c>
      <c r="O24" s="4">
        <f t="shared" si="24"/>
        <v>0.2</v>
      </c>
      <c r="P24" s="4">
        <f t="shared" si="6"/>
        <v>0.1</v>
      </c>
      <c r="Q24" s="86">
        <f>MAX(0.1,P24/(1+(NseMeas!J24*J24/(NseMeas!L24*L24))))</f>
        <v>0.1</v>
      </c>
      <c r="R24" s="86">
        <f>MAX(0.1,P24/(1+((NseMeas!L24*L24)/(NseMeas!J24*J24))))</f>
        <v>0.1</v>
      </c>
      <c r="S24" s="87">
        <f>MAX(Calibration!Q24,T24/1000)</f>
        <v>6.4485344474614736E-2</v>
      </c>
      <c r="T24" s="87">
        <f>Calibration!P24</f>
        <v>1.0644853444746147</v>
      </c>
      <c r="U24" s="87">
        <f>ABS(Calibration!S24)</f>
        <v>1</v>
      </c>
      <c r="V24" s="88">
        <f>T_0*(10^((O24+DashBoard!$N$6)/10)-1)-N24</f>
        <v>48.446972171817613</v>
      </c>
      <c r="W24" s="87">
        <f>4*T24*NseMeas!T24*Jitter1H1s/SQRT($BZ$4)</f>
        <v>3965634.5503131459</v>
      </c>
      <c r="X24" s="4">
        <f t="shared" si="27"/>
        <v>6700266852.5723629</v>
      </c>
      <c r="Y24" s="4">
        <f>MIN(DashBoard!$N$5/2, X24/2)</f>
        <v>5.5</v>
      </c>
      <c r="Z24" s="86">
        <f>MAX(0.1,Y24/(1+(Calibration!H24*S24/(Calibration!J24*U24))))</f>
        <v>0.99716008553836244</v>
      </c>
      <c r="AA24" s="86">
        <f>MAX(0.1,Y24/(1+((Calibration!J24*U24)/(Calibration!H24*S24))))</f>
        <v>4.5028399144616369</v>
      </c>
      <c r="AC24" s="4">
        <f t="shared" si="7"/>
        <v>4.5028399144616369</v>
      </c>
      <c r="AD24" s="4">
        <f t="shared" si="8"/>
        <v>5.5</v>
      </c>
      <c r="AE24" s="4">
        <f t="shared" si="9"/>
        <v>0.99716008553836244</v>
      </c>
      <c r="AF24" s="4">
        <f t="shared" si="10"/>
        <v>0.1</v>
      </c>
      <c r="AG24" s="4">
        <f t="shared" si="11"/>
        <v>0.1</v>
      </c>
      <c r="AH24" s="4">
        <f t="shared" si="12"/>
        <v>0.1</v>
      </c>
      <c r="AI24" s="4">
        <f t="shared" si="25"/>
        <v>0.30000000000000004</v>
      </c>
      <c r="AJ24" s="4">
        <f t="shared" si="26"/>
        <v>15.48999999999999</v>
      </c>
      <c r="AK24" s="4">
        <f t="shared" si="28"/>
        <v>12</v>
      </c>
      <c r="AL24" s="4">
        <f t="shared" si="13"/>
        <v>0</v>
      </c>
      <c r="AM24" s="4">
        <f t="shared" si="29"/>
        <v>0</v>
      </c>
      <c r="AN24" s="4">
        <f t="shared" si="30"/>
        <v>0</v>
      </c>
      <c r="AO24" s="4">
        <f t="shared" si="31"/>
        <v>0</v>
      </c>
      <c r="AP24" s="4">
        <f t="shared" si="32"/>
        <v>0</v>
      </c>
      <c r="AQ24" s="4">
        <f t="shared" si="33"/>
        <v>0</v>
      </c>
      <c r="AR24" s="4">
        <f t="shared" si="34"/>
        <v>0</v>
      </c>
      <c r="AS24" s="4">
        <f t="shared" si="35"/>
        <v>0</v>
      </c>
      <c r="AT24" s="4">
        <f t="shared" si="36"/>
        <v>0</v>
      </c>
      <c r="AU24" s="4">
        <f t="shared" si="37"/>
        <v>0</v>
      </c>
      <c r="AV24" s="4">
        <f t="shared" si="38"/>
        <v>0</v>
      </c>
      <c r="AW24" s="4">
        <f t="shared" si="39"/>
        <v>12</v>
      </c>
      <c r="AX24" s="4">
        <f t="shared" si="40"/>
        <v>0</v>
      </c>
      <c r="AY24" s="4">
        <f t="shared" si="41"/>
        <v>0</v>
      </c>
      <c r="AZ24" s="4">
        <f t="shared" si="42"/>
        <v>0</v>
      </c>
      <c r="BA24" s="4">
        <f t="shared" si="43"/>
        <v>0</v>
      </c>
      <c r="BB24" s="4">
        <f t="shared" si="44"/>
        <v>0</v>
      </c>
      <c r="BC24" s="4">
        <f t="shared" si="45"/>
        <v>0</v>
      </c>
      <c r="BD24" s="4">
        <f t="shared" si="46"/>
        <v>0</v>
      </c>
      <c r="BE24" s="4">
        <f t="shared" si="47"/>
        <v>0</v>
      </c>
      <c r="BF24" s="4">
        <f t="shared" si="48"/>
        <v>0</v>
      </c>
      <c r="BH24" s="4">
        <f t="shared" si="14"/>
        <v>46</v>
      </c>
      <c r="BI24" s="4">
        <v>50.1</v>
      </c>
      <c r="BJ24" s="162">
        <v>-100</v>
      </c>
      <c r="BK24" s="163">
        <v>-132</v>
      </c>
      <c r="BL24" s="162">
        <v>-100</v>
      </c>
      <c r="BM24" s="4">
        <f t="shared" si="15"/>
        <v>-100</v>
      </c>
      <c r="BN24" s="162">
        <v>3</v>
      </c>
      <c r="BO24" s="4">
        <v>2.2000000000000002</v>
      </c>
      <c r="BP24" s="162">
        <v>3</v>
      </c>
      <c r="BQ24" s="4">
        <f t="shared" si="16"/>
        <v>3</v>
      </c>
      <c r="BR24" s="4">
        <v>20</v>
      </c>
      <c r="BS24" s="4">
        <v>20</v>
      </c>
      <c r="BT24" s="4">
        <v>20</v>
      </c>
      <c r="BU24" s="4">
        <f t="shared" si="17"/>
        <v>20</v>
      </c>
    </row>
    <row r="25" spans="1:73">
      <c r="A25" s="4">
        <f>MIN(StopFreqGHz+0.000001,FieldFox!A24+FreqStep)</f>
        <v>10.660000000000005</v>
      </c>
      <c r="B25" s="4">
        <f t="shared" si="18"/>
        <v>-161</v>
      </c>
      <c r="C25" s="4">
        <f t="shared" si="19"/>
        <v>2</v>
      </c>
      <c r="D25" s="4">
        <f t="shared" si="20"/>
        <v>0.33333333333333331</v>
      </c>
      <c r="E25" s="86">
        <f>NseMeas!H25</f>
        <v>438.4470651377784</v>
      </c>
      <c r="F25" s="4">
        <f t="shared" si="21"/>
        <v>4.0000000000000009</v>
      </c>
      <c r="G25" s="4">
        <f t="shared" si="22"/>
        <v>20</v>
      </c>
      <c r="H25" s="88">
        <f>10*LOG10(P1dbBWghz*1000000000*NseMeas!J25/NseMeas!BW)</f>
        <v>-32.780089012396587</v>
      </c>
      <c r="I25" s="4" t="b">
        <f t="shared" si="23"/>
        <v>0</v>
      </c>
      <c r="J25" s="87">
        <f>MAX(NseMeas!T25,K25/1000)</f>
        <v>2131227761.6017535</v>
      </c>
      <c r="K25" s="87">
        <f>NseMeas!S25</f>
        <v>4762125180.2553024</v>
      </c>
      <c r="L25" s="87">
        <f>NseMeas!X25</f>
        <v>2630897418.6535492</v>
      </c>
      <c r="M25" s="88">
        <f t="shared" si="5"/>
        <v>43.163202203876551</v>
      </c>
      <c r="N25" s="87">
        <f>4*K25*NseMeas!K25*Jitter1H1s/SQRT($BZ$4)</f>
        <v>2.273250727606297</v>
      </c>
      <c r="O25" s="4">
        <f t="shared" si="24"/>
        <v>0.2</v>
      </c>
      <c r="P25" s="4">
        <f t="shared" si="6"/>
        <v>0.1</v>
      </c>
      <c r="Q25" s="86">
        <f>MAX(0.1,P25/(1+(NseMeas!J25*J25/(NseMeas!L25*L25))))</f>
        <v>0.1</v>
      </c>
      <c r="R25" s="86">
        <f>MAX(0.1,P25/(1+((NseMeas!L25*L25)/(NseMeas!J25*J25))))</f>
        <v>0.1</v>
      </c>
      <c r="S25" s="87">
        <f>MAX(Calibration!Q25,T25/1000)</f>
        <v>6.4485344474614736E-2</v>
      </c>
      <c r="T25" s="87">
        <f>Calibration!P25</f>
        <v>1.0644853444746147</v>
      </c>
      <c r="U25" s="87">
        <f>ABS(Calibration!S25)</f>
        <v>1</v>
      </c>
      <c r="V25" s="88">
        <f>T_0*(10^((O25+DashBoard!$N$6)/10)-1)-N25</f>
        <v>48.447040204857267</v>
      </c>
      <c r="W25" s="87">
        <f>4*T25*NseMeas!T25*Jitter1H1s/SQRT($BZ$4)</f>
        <v>3842248.2506128815</v>
      </c>
      <c r="X25" s="4">
        <f t="shared" si="27"/>
        <v>6289792868.0444508</v>
      </c>
      <c r="Y25" s="4">
        <f>MIN(DashBoard!$N$5/2, X25/2)</f>
        <v>5.5</v>
      </c>
      <c r="Z25" s="86">
        <f>MAX(0.1,Y25/(1+(Calibration!H25*S25/(Calibration!J25*U25))))</f>
        <v>0.97195140873796559</v>
      </c>
      <c r="AA25" s="86">
        <f>MAX(0.1,Y25/(1+((Calibration!J25*U25)/(Calibration!H25*S25))))</f>
        <v>4.528048591262035</v>
      </c>
      <c r="AC25" s="4">
        <f t="shared" si="7"/>
        <v>4.528048591262035</v>
      </c>
      <c r="AD25" s="4">
        <f t="shared" si="8"/>
        <v>5.5</v>
      </c>
      <c r="AE25" s="4">
        <f t="shared" si="9"/>
        <v>0.97195140873796559</v>
      </c>
      <c r="AF25" s="4">
        <f t="shared" si="10"/>
        <v>0.1</v>
      </c>
      <c r="AG25" s="4">
        <f t="shared" si="11"/>
        <v>0.1</v>
      </c>
      <c r="AH25" s="4">
        <f t="shared" si="12"/>
        <v>0.1</v>
      </c>
      <c r="AI25" s="4">
        <f t="shared" si="25"/>
        <v>0.30000000000000004</v>
      </c>
      <c r="AJ25" s="4">
        <f t="shared" si="26"/>
        <v>15.48999999999999</v>
      </c>
      <c r="AK25" s="4">
        <f t="shared" si="28"/>
        <v>12</v>
      </c>
      <c r="AL25" s="4">
        <f t="shared" si="13"/>
        <v>0</v>
      </c>
      <c r="AM25" s="4">
        <f t="shared" si="29"/>
        <v>0</v>
      </c>
      <c r="AN25" s="4">
        <f t="shared" si="30"/>
        <v>0</v>
      </c>
      <c r="AO25" s="4">
        <f t="shared" si="31"/>
        <v>0</v>
      </c>
      <c r="AP25" s="4">
        <f t="shared" si="32"/>
        <v>0</v>
      </c>
      <c r="AQ25" s="4">
        <f t="shared" si="33"/>
        <v>0</v>
      </c>
      <c r="AR25" s="4">
        <f t="shared" si="34"/>
        <v>0</v>
      </c>
      <c r="AS25" s="4">
        <f t="shared" si="35"/>
        <v>0</v>
      </c>
      <c r="AT25" s="4">
        <f t="shared" si="36"/>
        <v>0</v>
      </c>
      <c r="AU25" s="4">
        <f t="shared" si="37"/>
        <v>0</v>
      </c>
      <c r="AV25" s="4">
        <f t="shared" si="38"/>
        <v>0</v>
      </c>
      <c r="AW25" s="4">
        <f t="shared" si="39"/>
        <v>12</v>
      </c>
      <c r="AX25" s="4">
        <f t="shared" si="40"/>
        <v>0</v>
      </c>
      <c r="AY25" s="4">
        <f t="shared" si="41"/>
        <v>0</v>
      </c>
      <c r="AZ25" s="4">
        <f t="shared" si="42"/>
        <v>0</v>
      </c>
      <c r="BA25" s="4">
        <f t="shared" si="43"/>
        <v>0</v>
      </c>
      <c r="BB25" s="4">
        <f t="shared" si="44"/>
        <v>0</v>
      </c>
      <c r="BC25" s="4">
        <f t="shared" si="45"/>
        <v>0</v>
      </c>
      <c r="BD25" s="4">
        <f t="shared" si="46"/>
        <v>0</v>
      </c>
      <c r="BE25" s="4">
        <f t="shared" si="47"/>
        <v>0</v>
      </c>
      <c r="BF25" s="4">
        <f t="shared" si="48"/>
        <v>0</v>
      </c>
    </row>
    <row r="26" spans="1:73">
      <c r="A26" s="4">
        <f>MIN(StopFreqGHz+0.000001,FieldFox!A25+FreqStep)</f>
        <v>11.188000000000006</v>
      </c>
      <c r="B26" s="4">
        <f t="shared" si="18"/>
        <v>-161</v>
      </c>
      <c r="C26" s="4">
        <f t="shared" si="19"/>
        <v>2</v>
      </c>
      <c r="D26" s="4">
        <f t="shared" si="20"/>
        <v>0.33333333333333331</v>
      </c>
      <c r="E26" s="86">
        <f>NseMeas!H26</f>
        <v>438.4470651377784</v>
      </c>
      <c r="F26" s="4">
        <f t="shared" si="21"/>
        <v>4.0000000000000009</v>
      </c>
      <c r="G26" s="4">
        <f t="shared" si="22"/>
        <v>20</v>
      </c>
      <c r="H26" s="88">
        <f>10*LOG10(P1dbBWghz*1000000000*NseMeas!J26/NseMeas!BW)</f>
        <v>-32.642867013096975</v>
      </c>
      <c r="I26" s="4" t="b">
        <f t="shared" si="23"/>
        <v>0</v>
      </c>
      <c r="J26" s="87">
        <f>MAX(NseMeas!T26,K26/1000)</f>
        <v>2064916876.5764422</v>
      </c>
      <c r="K26" s="87">
        <f>NseMeas!S26</f>
        <v>4613952558.3860941</v>
      </c>
      <c r="L26" s="87">
        <f>NseMeas!X26</f>
        <v>2549035681.8096519</v>
      </c>
      <c r="M26" s="88">
        <f t="shared" si="5"/>
        <v>43.163202203876551</v>
      </c>
      <c r="N26" s="87">
        <f>4*K26*NseMeas!K26*Jitter1H1s/SQRT($BZ$4)</f>
        <v>2.2731848113495885</v>
      </c>
      <c r="O26" s="4">
        <f t="shared" si="24"/>
        <v>0.2</v>
      </c>
      <c r="P26" s="4">
        <f t="shared" si="6"/>
        <v>0.1</v>
      </c>
      <c r="Q26" s="86">
        <f>MAX(0.1,P26/(1+(NseMeas!J26*J26/(NseMeas!L26*L26))))</f>
        <v>0.1</v>
      </c>
      <c r="R26" s="86">
        <f>MAX(0.1,P26/(1+((NseMeas!L26*L26)/(NseMeas!J26*J26))))</f>
        <v>0.1</v>
      </c>
      <c r="S26" s="87">
        <f>MAX(Calibration!Q26,T26/1000)</f>
        <v>6.4485344474614736E-2</v>
      </c>
      <c r="T26" s="87">
        <f>Calibration!P26</f>
        <v>1.0644853444746147</v>
      </c>
      <c r="U26" s="87">
        <f>ABS(Calibration!S26)</f>
        <v>1</v>
      </c>
      <c r="V26" s="88">
        <f>T_0*(10^((O26+DashBoard!$N$6)/10)-1)-N26</f>
        <v>48.447106121113976</v>
      </c>
      <c r="W26" s="87">
        <f>4*T26*NseMeas!T26*Jitter1H1s/SQRT($BZ$4)</f>
        <v>3722700.7829158534</v>
      </c>
      <c r="X26" s="4">
        <f t="shared" si="27"/>
        <v>5904465374.5318117</v>
      </c>
      <c r="Y26" s="4">
        <f>MIN(DashBoard!$N$5/2, X26/2)</f>
        <v>5.5</v>
      </c>
      <c r="Z26" s="86">
        <f>MAX(0.1,Y26/(1+(Calibration!H26*S26/(Calibration!J26*U26))))</f>
        <v>0.94723580243670225</v>
      </c>
      <c r="AA26" s="86">
        <f>MAX(0.1,Y26/(1+((Calibration!J26*U26)/(Calibration!H26*S26))))</f>
        <v>4.552764197563298</v>
      </c>
      <c r="AC26" s="4">
        <f t="shared" si="7"/>
        <v>4.552764197563298</v>
      </c>
      <c r="AD26" s="4">
        <f t="shared" si="8"/>
        <v>5.5</v>
      </c>
      <c r="AE26" s="4">
        <f t="shared" si="9"/>
        <v>0.94723580243670225</v>
      </c>
      <c r="AF26" s="4">
        <f t="shared" si="10"/>
        <v>0.1</v>
      </c>
      <c r="AG26" s="4">
        <f t="shared" si="11"/>
        <v>0.1</v>
      </c>
      <c r="AH26" s="4">
        <f t="shared" si="12"/>
        <v>0.1</v>
      </c>
      <c r="AI26" s="4">
        <f t="shared" si="25"/>
        <v>0.30000000000000004</v>
      </c>
      <c r="AJ26" s="4">
        <f t="shared" si="26"/>
        <v>15.48999999999999</v>
      </c>
      <c r="AK26" s="4">
        <f t="shared" si="28"/>
        <v>12</v>
      </c>
      <c r="AL26" s="4">
        <f t="shared" si="13"/>
        <v>0</v>
      </c>
      <c r="AM26" s="4">
        <f t="shared" si="29"/>
        <v>0</v>
      </c>
      <c r="AN26" s="4">
        <f t="shared" si="30"/>
        <v>0</v>
      </c>
      <c r="AO26" s="4">
        <f t="shared" si="31"/>
        <v>0</v>
      </c>
      <c r="AP26" s="4">
        <f t="shared" si="32"/>
        <v>0</v>
      </c>
      <c r="AQ26" s="4">
        <f t="shared" si="33"/>
        <v>0</v>
      </c>
      <c r="AR26" s="4">
        <f t="shared" si="34"/>
        <v>0</v>
      </c>
      <c r="AS26" s="4">
        <f t="shared" si="35"/>
        <v>0</v>
      </c>
      <c r="AT26" s="4">
        <f t="shared" si="36"/>
        <v>0</v>
      </c>
      <c r="AU26" s="4">
        <f t="shared" si="37"/>
        <v>0</v>
      </c>
      <c r="AV26" s="4">
        <f t="shared" si="38"/>
        <v>0</v>
      </c>
      <c r="AW26" s="4">
        <f t="shared" si="39"/>
        <v>12</v>
      </c>
      <c r="AX26" s="4">
        <f t="shared" si="40"/>
        <v>0</v>
      </c>
      <c r="AY26" s="4">
        <f t="shared" si="41"/>
        <v>0</v>
      </c>
      <c r="AZ26" s="4">
        <f t="shared" si="42"/>
        <v>0</v>
      </c>
      <c r="BA26" s="4">
        <f t="shared" si="43"/>
        <v>0</v>
      </c>
      <c r="BB26" s="4">
        <f t="shared" si="44"/>
        <v>0</v>
      </c>
      <c r="BC26" s="4">
        <f t="shared" si="45"/>
        <v>0</v>
      </c>
      <c r="BD26" s="4">
        <f t="shared" si="46"/>
        <v>0</v>
      </c>
      <c r="BE26" s="4">
        <f t="shared" si="47"/>
        <v>0</v>
      </c>
      <c r="BF26" s="4">
        <f t="shared" si="48"/>
        <v>0</v>
      </c>
    </row>
    <row r="27" spans="1:73">
      <c r="A27" s="4">
        <f>MIN(StopFreqGHz+0.000001,FieldFox!A26+FreqStep)</f>
        <v>11.716000000000006</v>
      </c>
      <c r="B27" s="4">
        <f t="shared" si="18"/>
        <v>-161</v>
      </c>
      <c r="C27" s="4">
        <f t="shared" si="19"/>
        <v>2</v>
      </c>
      <c r="D27" s="4">
        <f t="shared" si="20"/>
        <v>0.33333333333333331</v>
      </c>
      <c r="E27" s="86">
        <f>NseMeas!H27</f>
        <v>438.4470651377784</v>
      </c>
      <c r="F27" s="4">
        <f t="shared" si="21"/>
        <v>4.0000000000000009</v>
      </c>
      <c r="G27" s="4">
        <f t="shared" si="22"/>
        <v>20</v>
      </c>
      <c r="H27" s="88">
        <f>10*LOG10(P1dbBWghz*1000000000*NseMeas!J27/NseMeas!BW)</f>
        <v>-32.505643209814345</v>
      </c>
      <c r="I27" s="4" t="b">
        <f t="shared" si="23"/>
        <v>0</v>
      </c>
      <c r="J27" s="87">
        <f>MAX(NseMeas!T27,K27/1000)</f>
        <v>2000669082.5648239</v>
      </c>
      <c r="K27" s="87">
        <f>NseMeas!S27</f>
        <v>4470390197.9035454</v>
      </c>
      <c r="L27" s="87">
        <f>NseMeas!X27</f>
        <v>2469721115.3387218</v>
      </c>
      <c r="M27" s="88">
        <f t="shared" si="5"/>
        <v>43.163202203876551</v>
      </c>
      <c r="N27" s="87">
        <f>4*K27*NseMeas!K27*Jitter1H1s/SQRT($BZ$4)</f>
        <v>2.2731209460171802</v>
      </c>
      <c r="O27" s="4">
        <f t="shared" si="24"/>
        <v>0.2</v>
      </c>
      <c r="P27" s="4">
        <f t="shared" si="6"/>
        <v>0.1</v>
      </c>
      <c r="Q27" s="86">
        <f>MAX(0.1,P27/(1+(NseMeas!J27*J27/(NseMeas!L27*L27))))</f>
        <v>0.1</v>
      </c>
      <c r="R27" s="86">
        <f>MAX(0.1,P27/(1+((NseMeas!L27*L27)/(NseMeas!J27*J27))))</f>
        <v>0.1</v>
      </c>
      <c r="S27" s="87">
        <f>MAX(Calibration!Q27,T27/1000)</f>
        <v>6.4485344474614736E-2</v>
      </c>
      <c r="T27" s="87">
        <f>Calibration!P27</f>
        <v>1.0644853444746147</v>
      </c>
      <c r="U27" s="87">
        <f>ABS(Calibration!S27)</f>
        <v>1</v>
      </c>
      <c r="V27" s="88">
        <f>T_0*(10^((O27+DashBoard!$N$6)/10)-1)-N27</f>
        <v>48.447169986446383</v>
      </c>
      <c r="W27" s="87">
        <f>4*T27*NseMeas!T27*Jitter1H1s/SQRT($BZ$4)</f>
        <v>3606872.7242754432</v>
      </c>
      <c r="X27" s="4">
        <f t="shared" si="27"/>
        <v>5542743854.9754915</v>
      </c>
      <c r="Y27" s="4">
        <f>MIN(DashBoard!$N$5/2, X27/2)</f>
        <v>5.5</v>
      </c>
      <c r="Z27" s="86">
        <f>MAX(0.1,Y27/(1+(Calibration!H27*S27/(Calibration!J27*U27))))</f>
        <v>0.92301092673333052</v>
      </c>
      <c r="AA27" s="86">
        <f>MAX(0.1,Y27/(1+((Calibration!J27*U27)/(Calibration!H27*S27))))</f>
        <v>4.5769890732666694</v>
      </c>
      <c r="AC27" s="4">
        <f t="shared" si="7"/>
        <v>4.5769890732666694</v>
      </c>
      <c r="AD27" s="4">
        <f t="shared" si="8"/>
        <v>5.5</v>
      </c>
      <c r="AE27" s="4">
        <f t="shared" si="9"/>
        <v>0.92301092673333052</v>
      </c>
      <c r="AF27" s="4">
        <f t="shared" si="10"/>
        <v>0.1</v>
      </c>
      <c r="AG27" s="4">
        <f t="shared" si="11"/>
        <v>0.1</v>
      </c>
      <c r="AH27" s="4">
        <f t="shared" si="12"/>
        <v>0.1</v>
      </c>
      <c r="AI27" s="4">
        <f t="shared" si="25"/>
        <v>0.30000000000000004</v>
      </c>
      <c r="AJ27" s="4">
        <f t="shared" si="26"/>
        <v>15.48999999999999</v>
      </c>
      <c r="AK27" s="4">
        <f t="shared" si="28"/>
        <v>12</v>
      </c>
      <c r="AL27" s="4">
        <f t="shared" si="13"/>
        <v>0</v>
      </c>
      <c r="AM27" s="4">
        <f t="shared" si="29"/>
        <v>0</v>
      </c>
      <c r="AN27" s="4">
        <f t="shared" si="30"/>
        <v>0</v>
      </c>
      <c r="AO27" s="4">
        <f t="shared" si="31"/>
        <v>0</v>
      </c>
      <c r="AP27" s="4">
        <f t="shared" si="32"/>
        <v>0</v>
      </c>
      <c r="AQ27" s="4">
        <f t="shared" si="33"/>
        <v>0</v>
      </c>
      <c r="AR27" s="4">
        <f t="shared" si="34"/>
        <v>0</v>
      </c>
      <c r="AS27" s="4">
        <f t="shared" si="35"/>
        <v>0</v>
      </c>
      <c r="AT27" s="4">
        <f t="shared" si="36"/>
        <v>0</v>
      </c>
      <c r="AU27" s="4">
        <f t="shared" si="37"/>
        <v>0</v>
      </c>
      <c r="AV27" s="4">
        <f t="shared" si="38"/>
        <v>0</v>
      </c>
      <c r="AW27" s="4">
        <f t="shared" si="39"/>
        <v>12</v>
      </c>
      <c r="AX27" s="4">
        <f t="shared" si="40"/>
        <v>0</v>
      </c>
      <c r="AY27" s="4">
        <f t="shared" si="41"/>
        <v>0</v>
      </c>
      <c r="AZ27" s="4">
        <f t="shared" si="42"/>
        <v>0</v>
      </c>
      <c r="BA27" s="4">
        <f t="shared" si="43"/>
        <v>0</v>
      </c>
      <c r="BB27" s="4">
        <f t="shared" si="44"/>
        <v>0</v>
      </c>
      <c r="BC27" s="4">
        <f t="shared" si="45"/>
        <v>0</v>
      </c>
      <c r="BD27" s="4">
        <f t="shared" si="46"/>
        <v>0</v>
      </c>
      <c r="BE27" s="4">
        <f t="shared" si="47"/>
        <v>0</v>
      </c>
      <c r="BF27" s="4">
        <f t="shared" si="48"/>
        <v>0</v>
      </c>
    </row>
    <row r="28" spans="1:73">
      <c r="A28" s="4">
        <f>MIN(StopFreqGHz+0.000001,FieldFox!A27+FreqStep)</f>
        <v>12.244000000000007</v>
      </c>
      <c r="B28" s="4">
        <f t="shared" si="18"/>
        <v>-161</v>
      </c>
      <c r="C28" s="4">
        <f t="shared" si="19"/>
        <v>2</v>
      </c>
      <c r="D28" s="4">
        <f t="shared" si="20"/>
        <v>0.33333333333333331</v>
      </c>
      <c r="E28" s="86">
        <f>NseMeas!H28</f>
        <v>438.4470651377784</v>
      </c>
      <c r="F28" s="4">
        <f t="shared" si="21"/>
        <v>4.0000000000000009</v>
      </c>
      <c r="G28" s="4">
        <f t="shared" si="22"/>
        <v>20</v>
      </c>
      <c r="H28" s="88">
        <f>10*LOG10(P1dbBWghz*1000000000*NseMeas!J28/NseMeas!BW)</f>
        <v>-32.368417658635316</v>
      </c>
      <c r="I28" s="4" t="b">
        <f t="shared" si="23"/>
        <v>0</v>
      </c>
      <c r="J28" s="87">
        <f>MAX(NseMeas!T28,K28/1000)</f>
        <v>1938420198.0741549</v>
      </c>
      <c r="K28" s="87">
        <f>NseMeas!S28</f>
        <v>4331294660.7884874</v>
      </c>
      <c r="L28" s="87">
        <f>NseMeas!X28</f>
        <v>2392874462.7143331</v>
      </c>
      <c r="M28" s="88">
        <f t="shared" si="5"/>
        <v>43.163202203876551</v>
      </c>
      <c r="N28" s="87">
        <f>4*K28*NseMeas!K28*Jitter1H1s/SQRT($BZ$4)</f>
        <v>2.2730590677992661</v>
      </c>
      <c r="O28" s="4">
        <f t="shared" si="24"/>
        <v>0.2</v>
      </c>
      <c r="P28" s="4">
        <f t="shared" si="6"/>
        <v>0.1</v>
      </c>
      <c r="Q28" s="86">
        <f>MAX(0.1,P28/(1+(NseMeas!J28*J28/(NseMeas!L28*L28))))</f>
        <v>0.1</v>
      </c>
      <c r="R28" s="86">
        <f>MAX(0.1,P28/(1+((NseMeas!L28*L28)/(NseMeas!J28*J28))))</f>
        <v>0.1</v>
      </c>
      <c r="S28" s="87">
        <f>MAX(Calibration!Q28,T28/1000)</f>
        <v>6.4485344474614736E-2</v>
      </c>
      <c r="T28" s="87">
        <f>Calibration!P28</f>
        <v>1.0644853444746147</v>
      </c>
      <c r="U28" s="87">
        <f>ABS(Calibration!S28)</f>
        <v>1</v>
      </c>
      <c r="V28" s="88">
        <f>T_0*(10^((O28+DashBoard!$N$6)/10)-1)-N28</f>
        <v>48.447231864664296</v>
      </c>
      <c r="W28" s="87">
        <f>4*T28*NseMeas!T28*Jitter1H1s/SQRT($BZ$4)</f>
        <v>3494648.3661631411</v>
      </c>
      <c r="X28" s="4">
        <f t="shared" si="27"/>
        <v>5203182166.181427</v>
      </c>
      <c r="Y28" s="4">
        <f>MIN(DashBoard!$N$5/2, X28/2)</f>
        <v>5.5</v>
      </c>
      <c r="Z28" s="86">
        <f>MAX(0.1,Y28/(1+(Calibration!H28*S28/(Calibration!J28*U28))))</f>
        <v>0.89927405321548537</v>
      </c>
      <c r="AA28" s="86">
        <f>MAX(0.1,Y28/(1+((Calibration!J28*U28)/(Calibration!H28*S28))))</f>
        <v>4.6007259467845145</v>
      </c>
      <c r="AC28" s="4">
        <f t="shared" si="7"/>
        <v>4.6007259467845145</v>
      </c>
      <c r="AD28" s="4">
        <f t="shared" si="8"/>
        <v>5.5</v>
      </c>
      <c r="AE28" s="4">
        <f t="shared" si="9"/>
        <v>0.89927405321548537</v>
      </c>
      <c r="AF28" s="4">
        <f t="shared" si="10"/>
        <v>0.1</v>
      </c>
      <c r="AG28" s="4">
        <f t="shared" si="11"/>
        <v>0.1</v>
      </c>
      <c r="AH28" s="4">
        <f t="shared" si="12"/>
        <v>0.1</v>
      </c>
      <c r="AI28" s="4">
        <f t="shared" si="25"/>
        <v>0.30000000000000004</v>
      </c>
      <c r="AJ28" s="4">
        <f t="shared" si="26"/>
        <v>15.48999999999999</v>
      </c>
      <c r="AK28" s="4">
        <f t="shared" si="28"/>
        <v>12</v>
      </c>
      <c r="AL28" s="4">
        <f t="shared" si="13"/>
        <v>0</v>
      </c>
      <c r="AM28" s="4">
        <f t="shared" si="29"/>
        <v>0</v>
      </c>
      <c r="AN28" s="4">
        <f t="shared" si="30"/>
        <v>0</v>
      </c>
      <c r="AO28" s="4">
        <f t="shared" si="31"/>
        <v>0</v>
      </c>
      <c r="AP28" s="4">
        <f t="shared" si="32"/>
        <v>0</v>
      </c>
      <c r="AQ28" s="4">
        <f t="shared" si="33"/>
        <v>0</v>
      </c>
      <c r="AR28" s="4">
        <f t="shared" si="34"/>
        <v>0</v>
      </c>
      <c r="AS28" s="4">
        <f t="shared" si="35"/>
        <v>0</v>
      </c>
      <c r="AT28" s="4">
        <f t="shared" si="36"/>
        <v>0</v>
      </c>
      <c r="AU28" s="4">
        <f t="shared" si="37"/>
        <v>0</v>
      </c>
      <c r="AV28" s="4">
        <f t="shared" si="38"/>
        <v>0</v>
      </c>
      <c r="AW28" s="4">
        <f t="shared" si="39"/>
        <v>12</v>
      </c>
      <c r="AX28" s="4">
        <f t="shared" si="40"/>
        <v>0</v>
      </c>
      <c r="AY28" s="4">
        <f t="shared" si="41"/>
        <v>0</v>
      </c>
      <c r="AZ28" s="4">
        <f t="shared" si="42"/>
        <v>0</v>
      </c>
      <c r="BA28" s="4">
        <f t="shared" si="43"/>
        <v>0</v>
      </c>
      <c r="BB28" s="4">
        <f t="shared" si="44"/>
        <v>0</v>
      </c>
      <c r="BC28" s="4">
        <f t="shared" si="45"/>
        <v>0</v>
      </c>
      <c r="BD28" s="4">
        <f t="shared" si="46"/>
        <v>0</v>
      </c>
      <c r="BE28" s="4">
        <f t="shared" si="47"/>
        <v>0</v>
      </c>
      <c r="BF28" s="4">
        <f t="shared" si="48"/>
        <v>0</v>
      </c>
    </row>
    <row r="29" spans="1:73">
      <c r="A29" s="4">
        <f>MIN(StopFreqGHz+0.000001,FieldFox!A28+FreqStep)</f>
        <v>12.772000000000007</v>
      </c>
      <c r="B29" s="4">
        <f t="shared" si="18"/>
        <v>-161</v>
      </c>
      <c r="C29" s="4">
        <f t="shared" si="19"/>
        <v>2</v>
      </c>
      <c r="D29" s="4">
        <f t="shared" si="20"/>
        <v>0.33333333333333331</v>
      </c>
      <c r="E29" s="86">
        <f>NseMeas!H29</f>
        <v>438.4470651377784</v>
      </c>
      <c r="F29" s="4">
        <f t="shared" si="21"/>
        <v>4.0000000000000009</v>
      </c>
      <c r="G29" s="4">
        <f t="shared" si="22"/>
        <v>20</v>
      </c>
      <c r="H29" s="88">
        <f>10*LOG10(P1dbBWghz*1000000000*NseMeas!J29/NseMeas!BW)</f>
        <v>-32.231190413904123</v>
      </c>
      <c r="I29" s="4" t="b">
        <f t="shared" si="23"/>
        <v>0</v>
      </c>
      <c r="J29" s="87">
        <f>MAX(NseMeas!T29,K29/1000)</f>
        <v>1878108037.8769231</v>
      </c>
      <c r="K29" s="87">
        <f>NseMeas!S29</f>
        <v>4196526971.3948903</v>
      </c>
      <c r="L29" s="87">
        <f>NseMeas!X29</f>
        <v>2318418933.5179672</v>
      </c>
      <c r="M29" s="88">
        <f t="shared" si="5"/>
        <v>43.163202203876551</v>
      </c>
      <c r="N29" s="87">
        <f>4*K29*NseMeas!K29*Jitter1H1s/SQRT($BZ$4)</f>
        <v>2.2729991148711646</v>
      </c>
      <c r="O29" s="4">
        <f t="shared" si="24"/>
        <v>0.2</v>
      </c>
      <c r="P29" s="4">
        <f t="shared" si="6"/>
        <v>0.1</v>
      </c>
      <c r="Q29" s="86">
        <f>MAX(0.1,P29/(1+(NseMeas!J29*J29/(NseMeas!L29*L29))))</f>
        <v>0.1</v>
      </c>
      <c r="R29" s="86">
        <f>MAX(0.1,P29/(1+((NseMeas!L29*L29)/(NseMeas!J29*J29))))</f>
        <v>0.1</v>
      </c>
      <c r="S29" s="87">
        <f>MAX(Calibration!Q29,T29/1000)</f>
        <v>6.4485344474614736E-2</v>
      </c>
      <c r="T29" s="87">
        <f>Calibration!P29</f>
        <v>1.0644853444746147</v>
      </c>
      <c r="U29" s="87">
        <f>ABS(Calibration!S29)</f>
        <v>1</v>
      </c>
      <c r="V29" s="88">
        <f>T_0*(10^((O29+DashBoard!$N$6)/10)-1)-N29</f>
        <v>48.447291817592401</v>
      </c>
      <c r="W29" s="87">
        <f>4*T29*NseMeas!T29*Jitter1H1s/SQRT($BZ$4)</f>
        <v>3385915.5989837507</v>
      </c>
      <c r="X29" s="4">
        <f t="shared" si="27"/>
        <v>4884422757.4444838</v>
      </c>
      <c r="Y29" s="4">
        <f>MIN(DashBoard!$N$5/2, X29/2)</f>
        <v>5.5</v>
      </c>
      <c r="Z29" s="86">
        <f>MAX(0.1,Y29/(1+(Calibration!H29*S29/(Calibration!J29*U29))))</f>
        <v>0.87602208459064668</v>
      </c>
      <c r="AA29" s="86">
        <f>MAX(0.1,Y29/(1+((Calibration!J29*U29)/(Calibration!H29*S29))))</f>
        <v>4.6239779154093537</v>
      </c>
      <c r="AC29" s="4">
        <f t="shared" si="7"/>
        <v>4.6239779154093537</v>
      </c>
      <c r="AD29" s="4">
        <f t="shared" si="8"/>
        <v>5.5</v>
      </c>
      <c r="AE29" s="4">
        <f t="shared" si="9"/>
        <v>0.87602208459064668</v>
      </c>
      <c r="AF29" s="4">
        <f t="shared" si="10"/>
        <v>0.1</v>
      </c>
      <c r="AG29" s="4">
        <f t="shared" si="11"/>
        <v>0.1</v>
      </c>
      <c r="AH29" s="4">
        <f t="shared" si="12"/>
        <v>0.1</v>
      </c>
      <c r="AI29" s="4">
        <f t="shared" si="25"/>
        <v>0.30000000000000004</v>
      </c>
      <c r="AJ29" s="4">
        <f t="shared" si="26"/>
        <v>15.48999999999999</v>
      </c>
      <c r="AK29" s="4">
        <f t="shared" si="28"/>
        <v>12</v>
      </c>
      <c r="AL29" s="4">
        <f t="shared" si="13"/>
        <v>0</v>
      </c>
      <c r="AM29" s="4">
        <f t="shared" si="29"/>
        <v>0</v>
      </c>
      <c r="AN29" s="4">
        <f t="shared" si="30"/>
        <v>0</v>
      </c>
      <c r="AO29" s="4">
        <f t="shared" si="31"/>
        <v>0</v>
      </c>
      <c r="AP29" s="4">
        <f t="shared" si="32"/>
        <v>0</v>
      </c>
      <c r="AQ29" s="4">
        <f t="shared" si="33"/>
        <v>0</v>
      </c>
      <c r="AR29" s="4">
        <f t="shared" si="34"/>
        <v>0</v>
      </c>
      <c r="AS29" s="4">
        <f t="shared" si="35"/>
        <v>0</v>
      </c>
      <c r="AT29" s="4">
        <f t="shared" si="36"/>
        <v>0</v>
      </c>
      <c r="AU29" s="4">
        <f t="shared" si="37"/>
        <v>0</v>
      </c>
      <c r="AV29" s="4">
        <f t="shared" si="38"/>
        <v>0</v>
      </c>
      <c r="AW29" s="4">
        <f t="shared" si="39"/>
        <v>12</v>
      </c>
      <c r="AX29" s="4">
        <f t="shared" si="40"/>
        <v>0</v>
      </c>
      <c r="AY29" s="4">
        <f t="shared" si="41"/>
        <v>0</v>
      </c>
      <c r="AZ29" s="4">
        <f t="shared" si="42"/>
        <v>0</v>
      </c>
      <c r="BA29" s="4">
        <f t="shared" si="43"/>
        <v>0</v>
      </c>
      <c r="BB29" s="4">
        <f t="shared" si="44"/>
        <v>0</v>
      </c>
      <c r="BC29" s="4">
        <f t="shared" si="45"/>
        <v>0</v>
      </c>
      <c r="BD29" s="4">
        <f t="shared" si="46"/>
        <v>0</v>
      </c>
      <c r="BE29" s="4">
        <f t="shared" si="47"/>
        <v>0</v>
      </c>
      <c r="BF29" s="4">
        <f t="shared" si="48"/>
        <v>0</v>
      </c>
    </row>
    <row r="30" spans="1:73">
      <c r="A30" s="4">
        <f>MIN(StopFreqGHz+0.000001,FieldFox!A29+FreqStep)</f>
        <v>13.300000000000008</v>
      </c>
      <c r="B30" s="4">
        <f t="shared" si="18"/>
        <v>-158</v>
      </c>
      <c r="C30" s="4">
        <f t="shared" si="19"/>
        <v>2</v>
      </c>
      <c r="D30" s="4">
        <f t="shared" si="20"/>
        <v>0.33333333333333331</v>
      </c>
      <c r="E30" s="86">
        <f>NseMeas!H30</f>
        <v>438.4470651377784</v>
      </c>
      <c r="F30" s="4">
        <f t="shared" si="21"/>
        <v>4.0000000000000009</v>
      </c>
      <c r="G30" s="4">
        <f t="shared" si="22"/>
        <v>20</v>
      </c>
      <c r="H30" s="88">
        <f>10*LOG10(P1dbBWghz*1000000000*NseMeas!J30/NseMeas!BW)</f>
        <v>-32.092293682521479</v>
      </c>
      <c r="I30" s="4" t="b">
        <f t="shared" si="23"/>
        <v>0</v>
      </c>
      <c r="J30" s="87">
        <f>MAX(NseMeas!T30,K30/1000)</f>
        <v>1819672350.9435074</v>
      </c>
      <c r="K30" s="87">
        <f>NseMeas!S30</f>
        <v>4065952477.6482911</v>
      </c>
      <c r="L30" s="87">
        <f>NseMeas!X30</f>
        <v>2246280126.7047834</v>
      </c>
      <c r="M30" s="88">
        <f t="shared" si="5"/>
        <v>43.163202203876551</v>
      </c>
      <c r="N30" s="87">
        <f>4*K30*NseMeas!K30*Jitter1H1s/SQRT($BZ$4)</f>
        <v>2.2748845246457789</v>
      </c>
      <c r="O30" s="4">
        <f t="shared" si="24"/>
        <v>0.2</v>
      </c>
      <c r="P30" s="4">
        <f t="shared" si="6"/>
        <v>0.1</v>
      </c>
      <c r="Q30" s="86">
        <f>MAX(0.1,P30/(1+(NseMeas!J30*J30/(NseMeas!L30*L30))))</f>
        <v>0.1</v>
      </c>
      <c r="R30" s="86">
        <f>MAX(0.1,P30/(1+((NseMeas!L30*L30)/(NseMeas!J30*J30))))</f>
        <v>0.1</v>
      </c>
      <c r="S30" s="87">
        <f>MAX(Calibration!Q30,T30/1000)</f>
        <v>6.4485344474614736E-2</v>
      </c>
      <c r="T30" s="87">
        <f>Calibration!P30</f>
        <v>1.0644853444746147</v>
      </c>
      <c r="U30" s="87">
        <f>ABS(Calibration!S30)</f>
        <v>1</v>
      </c>
      <c r="V30" s="88">
        <f>T_0*(10^((O30+DashBoard!$N$6)/10)-1)-N30</f>
        <v>48.445406407817785</v>
      </c>
      <c r="W30" s="87">
        <f>4*T30*NseMeas!T30*Jitter1H1s/SQRT($BZ$4)</f>
        <v>3280565.8001783267</v>
      </c>
      <c r="X30" s="4">
        <f t="shared" si="27"/>
        <v>4585559141.3986073</v>
      </c>
      <c r="Y30" s="4">
        <f>MIN(DashBoard!$N$5/2, X30/2)</f>
        <v>5.5</v>
      </c>
      <c r="Z30" s="86">
        <f>MAX(0.1,Y30/(1+(Calibration!H30*S30/(Calibration!J30*U30))))</f>
        <v>1.4616001713716404</v>
      </c>
      <c r="AA30" s="86">
        <f>MAX(0.1,Y30/(1+((Calibration!J30*U30)/(Calibration!H30*S30))))</f>
        <v>4.0383998286283598</v>
      </c>
      <c r="AC30" s="4">
        <f t="shared" si="7"/>
        <v>4.0383998286283598</v>
      </c>
      <c r="AD30" s="4">
        <f t="shared" si="8"/>
        <v>5.5</v>
      </c>
      <c r="AE30" s="4">
        <f t="shared" si="9"/>
        <v>1.4616001713716404</v>
      </c>
      <c r="AF30" s="4">
        <f t="shared" si="10"/>
        <v>0.1</v>
      </c>
      <c r="AG30" s="4">
        <f t="shared" si="11"/>
        <v>0.1</v>
      </c>
      <c r="AH30" s="4">
        <f t="shared" si="12"/>
        <v>0.1</v>
      </c>
      <c r="AI30" s="4">
        <f t="shared" si="25"/>
        <v>0.30000000000000004</v>
      </c>
      <c r="AJ30" s="4">
        <f t="shared" si="26"/>
        <v>18.489999999999988</v>
      </c>
      <c r="AK30" s="4">
        <f t="shared" si="28"/>
        <v>13</v>
      </c>
      <c r="AL30" s="4">
        <f t="shared" si="13"/>
        <v>0</v>
      </c>
      <c r="AM30" s="4">
        <f t="shared" si="29"/>
        <v>0</v>
      </c>
      <c r="AN30" s="4">
        <f t="shared" si="30"/>
        <v>0</v>
      </c>
      <c r="AO30" s="4">
        <f t="shared" si="31"/>
        <v>0</v>
      </c>
      <c r="AP30" s="4">
        <f t="shared" si="32"/>
        <v>0</v>
      </c>
      <c r="AQ30" s="4">
        <f t="shared" si="33"/>
        <v>0</v>
      </c>
      <c r="AR30" s="4">
        <f t="shared" si="34"/>
        <v>0</v>
      </c>
      <c r="AS30" s="4">
        <f t="shared" si="35"/>
        <v>0</v>
      </c>
      <c r="AT30" s="4">
        <f t="shared" si="36"/>
        <v>0</v>
      </c>
      <c r="AU30" s="4">
        <f t="shared" si="37"/>
        <v>0</v>
      </c>
      <c r="AV30" s="4">
        <f t="shared" si="38"/>
        <v>0</v>
      </c>
      <c r="AW30" s="4">
        <f t="shared" si="39"/>
        <v>0</v>
      </c>
      <c r="AX30" s="4">
        <f t="shared" si="40"/>
        <v>13</v>
      </c>
      <c r="AY30" s="4">
        <f t="shared" si="41"/>
        <v>0</v>
      </c>
      <c r="AZ30" s="4">
        <f t="shared" si="42"/>
        <v>0</v>
      </c>
      <c r="BA30" s="4">
        <f t="shared" si="43"/>
        <v>0</v>
      </c>
      <c r="BB30" s="4">
        <f t="shared" si="44"/>
        <v>0</v>
      </c>
      <c r="BC30" s="4">
        <f t="shared" si="45"/>
        <v>0</v>
      </c>
      <c r="BD30" s="4">
        <f t="shared" si="46"/>
        <v>0</v>
      </c>
      <c r="BE30" s="4">
        <f t="shared" si="47"/>
        <v>0</v>
      </c>
      <c r="BF30" s="4">
        <f t="shared" si="48"/>
        <v>0</v>
      </c>
    </row>
    <row r="31" spans="1:73">
      <c r="A31" s="4">
        <f>MIN(StopFreqGHz+0.000001,FieldFox!A30+FreqStep)</f>
        <v>13.828000000000008</v>
      </c>
      <c r="B31" s="4">
        <f t="shared" si="18"/>
        <v>-158</v>
      </c>
      <c r="C31" s="4">
        <f t="shared" si="19"/>
        <v>2</v>
      </c>
      <c r="D31" s="4">
        <f t="shared" si="20"/>
        <v>0.33333333333333331</v>
      </c>
      <c r="E31" s="86">
        <f>NseMeas!H31</f>
        <v>438.4470651377784</v>
      </c>
      <c r="F31" s="4">
        <f t="shared" si="21"/>
        <v>4.0000000000000009</v>
      </c>
      <c r="G31" s="4">
        <f t="shared" si="22"/>
        <v>20</v>
      </c>
      <c r="H31" s="88">
        <f>10*LOG10(P1dbBWghz*1000000000*NseMeas!J31/NseMeas!BW)</f>
        <v>-31.955115074824892</v>
      </c>
      <c r="I31" s="4" t="b">
        <f t="shared" si="23"/>
        <v>0</v>
      </c>
      <c r="J31" s="87">
        <f>MAX(NseMeas!T31,K31/1000)</f>
        <v>1763054760.3031757</v>
      </c>
      <c r="K31" s="87">
        <f>NseMeas!S31</f>
        <v>3939440716.5601845</v>
      </c>
      <c r="L31" s="87">
        <f>NseMeas!X31</f>
        <v>2176385956.2570095</v>
      </c>
      <c r="M31" s="88">
        <f t="shared" si="5"/>
        <v>43.163202203876551</v>
      </c>
      <c r="N31" s="87">
        <f>4*K31*NseMeas!K31*Jitter1H1s/SQRT($BZ$4)</f>
        <v>2.2747677727054287</v>
      </c>
      <c r="O31" s="4">
        <f t="shared" si="24"/>
        <v>0.2</v>
      </c>
      <c r="P31" s="4">
        <f t="shared" si="6"/>
        <v>0.1</v>
      </c>
      <c r="Q31" s="86">
        <f>MAX(0.1,P31/(1+(NseMeas!J31*J31/(NseMeas!L31*L31))))</f>
        <v>0.1</v>
      </c>
      <c r="R31" s="86">
        <f>MAX(0.1,P31/(1+((NseMeas!L31*L31)/(NseMeas!J31*J31))))</f>
        <v>0.1</v>
      </c>
      <c r="S31" s="87">
        <f>MAX(Calibration!Q31,T31/1000)</f>
        <v>6.4485344474614736E-2</v>
      </c>
      <c r="T31" s="87">
        <f>Calibration!P31</f>
        <v>1.0644853444746147</v>
      </c>
      <c r="U31" s="87">
        <f>ABS(Calibration!S31)</f>
        <v>1</v>
      </c>
      <c r="V31" s="88">
        <f>T_0*(10^((O31+DashBoard!$N$6)/10)-1)-N31</f>
        <v>48.445523159758132</v>
      </c>
      <c r="W31" s="87">
        <f>4*T31*NseMeas!T31*Jitter1H1s/SQRT($BZ$4)</f>
        <v>3178493.7258035834</v>
      </c>
      <c r="X31" s="4">
        <f t="shared" si="27"/>
        <v>4304625921.8324928</v>
      </c>
      <c r="Y31" s="4">
        <f>MIN(DashBoard!$N$5/2, X31/2)</f>
        <v>5.5</v>
      </c>
      <c r="Z31" s="86">
        <f>MAX(0.1,Y31/(1+(Calibration!H31*S31/(Calibration!J31*U31))))</f>
        <v>1.4286773466044351</v>
      </c>
      <c r="AA31" s="86">
        <f>MAX(0.1,Y31/(1+((Calibration!J31*U31)/(Calibration!H31*S31))))</f>
        <v>4.0713226533955655</v>
      </c>
      <c r="AC31" s="4">
        <f t="shared" si="7"/>
        <v>4.0713226533955655</v>
      </c>
      <c r="AD31" s="4">
        <f t="shared" si="8"/>
        <v>5.5</v>
      </c>
      <c r="AE31" s="4">
        <f t="shared" si="9"/>
        <v>1.4286773466044351</v>
      </c>
      <c r="AF31" s="4">
        <f t="shared" si="10"/>
        <v>0.1</v>
      </c>
      <c r="AG31" s="4">
        <f t="shared" si="11"/>
        <v>0.1</v>
      </c>
      <c r="AH31" s="4">
        <f t="shared" si="12"/>
        <v>0.1</v>
      </c>
      <c r="AI31" s="4">
        <f t="shared" si="25"/>
        <v>0.30000000000000004</v>
      </c>
      <c r="AJ31" s="4">
        <f t="shared" si="26"/>
        <v>18.489999999999988</v>
      </c>
      <c r="AK31" s="4">
        <f t="shared" si="28"/>
        <v>13</v>
      </c>
      <c r="AL31" s="4">
        <f t="shared" si="13"/>
        <v>0</v>
      </c>
      <c r="AM31" s="4">
        <f t="shared" si="29"/>
        <v>0</v>
      </c>
      <c r="AN31" s="4">
        <f t="shared" si="30"/>
        <v>0</v>
      </c>
      <c r="AO31" s="4">
        <f t="shared" si="31"/>
        <v>0</v>
      </c>
      <c r="AP31" s="4">
        <f t="shared" si="32"/>
        <v>0</v>
      </c>
      <c r="AQ31" s="4">
        <f t="shared" si="33"/>
        <v>0</v>
      </c>
      <c r="AR31" s="4">
        <f t="shared" si="34"/>
        <v>0</v>
      </c>
      <c r="AS31" s="4">
        <f t="shared" si="35"/>
        <v>0</v>
      </c>
      <c r="AT31" s="4">
        <f t="shared" si="36"/>
        <v>0</v>
      </c>
      <c r="AU31" s="4">
        <f t="shared" si="37"/>
        <v>0</v>
      </c>
      <c r="AV31" s="4">
        <f t="shared" si="38"/>
        <v>0</v>
      </c>
      <c r="AW31" s="4">
        <f t="shared" si="39"/>
        <v>0</v>
      </c>
      <c r="AX31" s="4">
        <f t="shared" si="40"/>
        <v>13</v>
      </c>
      <c r="AY31" s="4">
        <f t="shared" si="41"/>
        <v>0</v>
      </c>
      <c r="AZ31" s="4">
        <f t="shared" si="42"/>
        <v>0</v>
      </c>
      <c r="BA31" s="4">
        <f t="shared" si="43"/>
        <v>0</v>
      </c>
      <c r="BB31" s="4">
        <f t="shared" si="44"/>
        <v>0</v>
      </c>
      <c r="BC31" s="4">
        <f t="shared" si="45"/>
        <v>0</v>
      </c>
      <c r="BD31" s="4">
        <f t="shared" si="46"/>
        <v>0</v>
      </c>
      <c r="BE31" s="4">
        <f t="shared" si="47"/>
        <v>0</v>
      </c>
      <c r="BF31" s="4">
        <f t="shared" si="48"/>
        <v>0</v>
      </c>
    </row>
    <row r="32" spans="1:73">
      <c r="A32" s="4">
        <f>MIN(StopFreqGHz+0.000001,FieldFox!A31+FreqStep)</f>
        <v>14.356000000000009</v>
      </c>
      <c r="B32" s="4">
        <f t="shared" si="18"/>
        <v>-158</v>
      </c>
      <c r="C32" s="4">
        <f t="shared" si="19"/>
        <v>2</v>
      </c>
      <c r="D32" s="4">
        <f t="shared" si="20"/>
        <v>0.33333333333333331</v>
      </c>
      <c r="E32" s="86">
        <f>NseMeas!H32</f>
        <v>438.4470651377784</v>
      </c>
      <c r="F32" s="4">
        <f t="shared" si="21"/>
        <v>4.0000000000000009</v>
      </c>
      <c r="G32" s="4">
        <f t="shared" si="22"/>
        <v>20</v>
      </c>
      <c r="H32" s="88">
        <f>10*LOG10(P1dbBWghz*1000000000*NseMeas!J32/NseMeas!BW)</f>
        <v>-31.817933314512096</v>
      </c>
      <c r="I32" s="4" t="b">
        <f t="shared" si="23"/>
        <v>0</v>
      </c>
      <c r="J32" s="87">
        <f>MAX(NseMeas!T32,K32/1000)</f>
        <v>1708198704.7736349</v>
      </c>
      <c r="K32" s="87">
        <f>NseMeas!S32</f>
        <v>3816865283.9243183</v>
      </c>
      <c r="L32" s="87">
        <f>NseMeas!X32</f>
        <v>2108666579.1506834</v>
      </c>
      <c r="M32" s="88">
        <f t="shared" si="5"/>
        <v>43.163202203876551</v>
      </c>
      <c r="N32" s="87">
        <f>4*K32*NseMeas!K32*Jitter1H1s/SQRT($BZ$4)</f>
        <v>2.274654653421579</v>
      </c>
      <c r="O32" s="4">
        <f t="shared" si="24"/>
        <v>0.2</v>
      </c>
      <c r="P32" s="4">
        <f t="shared" si="6"/>
        <v>0.1</v>
      </c>
      <c r="Q32" s="86">
        <f>MAX(0.1,P32/(1+(NseMeas!J32*J32/(NseMeas!L32*L32))))</f>
        <v>0.1</v>
      </c>
      <c r="R32" s="86">
        <f>MAX(0.1,P32/(1+((NseMeas!L32*L32)/(NseMeas!J32*J32))))</f>
        <v>0.1</v>
      </c>
      <c r="S32" s="87">
        <f>MAX(Calibration!Q32,T32/1000)</f>
        <v>6.4485344474614736E-2</v>
      </c>
      <c r="T32" s="87">
        <f>Calibration!P32</f>
        <v>1.0644853444746147</v>
      </c>
      <c r="U32" s="87">
        <f>ABS(Calibration!S32)</f>
        <v>1</v>
      </c>
      <c r="V32" s="88">
        <f>T_0*(10^((O32+DashBoard!$N$6)/10)-1)-N32</f>
        <v>48.445636279041985</v>
      </c>
      <c r="W32" s="87">
        <f>4*T32*NseMeas!T32*Jitter1H1s/SQRT($BZ$4)</f>
        <v>3079597.4054799909</v>
      </c>
      <c r="X32" s="4">
        <f t="shared" si="27"/>
        <v>4040904266.4314489</v>
      </c>
      <c r="Y32" s="4">
        <f>MIN(DashBoard!$N$5/2, X32/2)</f>
        <v>5.5</v>
      </c>
      <c r="Z32" s="86">
        <f>MAX(0.1,Y32/(1+(Calibration!H32*S32/(Calibration!J32*U32))))</f>
        <v>1.3962172721668271</v>
      </c>
      <c r="AA32" s="86">
        <f>MAX(0.1,Y32/(1+((Calibration!J32*U32)/(Calibration!H32*S32))))</f>
        <v>4.1037827278331731</v>
      </c>
      <c r="AC32" s="4">
        <f t="shared" si="7"/>
        <v>4.1037827278331731</v>
      </c>
      <c r="AD32" s="4">
        <f t="shared" si="8"/>
        <v>5.5</v>
      </c>
      <c r="AE32" s="4">
        <f t="shared" si="9"/>
        <v>1.3962172721668271</v>
      </c>
      <c r="AF32" s="4">
        <f t="shared" si="10"/>
        <v>0.1</v>
      </c>
      <c r="AG32" s="4">
        <f t="shared" si="11"/>
        <v>0.1</v>
      </c>
      <c r="AH32" s="4">
        <f t="shared" si="12"/>
        <v>0.1</v>
      </c>
      <c r="AI32" s="4">
        <f t="shared" si="25"/>
        <v>0.30000000000000004</v>
      </c>
      <c r="AJ32" s="4">
        <f t="shared" si="26"/>
        <v>18.489999999999988</v>
      </c>
      <c r="AK32" s="4">
        <f t="shared" si="28"/>
        <v>13</v>
      </c>
      <c r="AL32" s="4">
        <f t="shared" si="13"/>
        <v>0</v>
      </c>
      <c r="AM32" s="4">
        <f t="shared" si="29"/>
        <v>0</v>
      </c>
      <c r="AN32" s="4">
        <f t="shared" si="30"/>
        <v>0</v>
      </c>
      <c r="AO32" s="4">
        <f t="shared" si="31"/>
        <v>0</v>
      </c>
      <c r="AP32" s="4">
        <f t="shared" si="32"/>
        <v>0</v>
      </c>
      <c r="AQ32" s="4">
        <f t="shared" si="33"/>
        <v>0</v>
      </c>
      <c r="AR32" s="4">
        <f t="shared" si="34"/>
        <v>0</v>
      </c>
      <c r="AS32" s="4">
        <f t="shared" si="35"/>
        <v>0</v>
      </c>
      <c r="AT32" s="4">
        <f t="shared" si="36"/>
        <v>0</v>
      </c>
      <c r="AU32" s="4">
        <f t="shared" si="37"/>
        <v>0</v>
      </c>
      <c r="AV32" s="4">
        <f t="shared" si="38"/>
        <v>0</v>
      </c>
      <c r="AW32" s="4">
        <f t="shared" si="39"/>
        <v>0</v>
      </c>
      <c r="AX32" s="4">
        <f t="shared" si="40"/>
        <v>13</v>
      </c>
      <c r="AY32" s="4">
        <f t="shared" si="41"/>
        <v>0</v>
      </c>
      <c r="AZ32" s="4">
        <f t="shared" si="42"/>
        <v>0</v>
      </c>
      <c r="BA32" s="4">
        <f t="shared" si="43"/>
        <v>0</v>
      </c>
      <c r="BB32" s="4">
        <f t="shared" si="44"/>
        <v>0</v>
      </c>
      <c r="BC32" s="4">
        <f t="shared" si="45"/>
        <v>0</v>
      </c>
      <c r="BD32" s="4">
        <f t="shared" si="46"/>
        <v>0</v>
      </c>
      <c r="BE32" s="4">
        <f t="shared" si="47"/>
        <v>0</v>
      </c>
      <c r="BF32" s="4">
        <f t="shared" si="48"/>
        <v>0</v>
      </c>
    </row>
    <row r="33" spans="1:58">
      <c r="A33" s="4">
        <f>MIN(StopFreqGHz+0.000001,FieldFox!A32+FreqStep)</f>
        <v>14.884000000000009</v>
      </c>
      <c r="B33" s="4">
        <f t="shared" si="18"/>
        <v>-158</v>
      </c>
      <c r="C33" s="4">
        <f t="shared" si="19"/>
        <v>2</v>
      </c>
      <c r="D33" s="4">
        <f t="shared" si="20"/>
        <v>0.33333333333333331</v>
      </c>
      <c r="E33" s="86">
        <f>NseMeas!H33</f>
        <v>438.4470651377784</v>
      </c>
      <c r="F33" s="4">
        <f t="shared" si="21"/>
        <v>4.0000000000000009</v>
      </c>
      <c r="G33" s="4">
        <f t="shared" si="22"/>
        <v>20</v>
      </c>
      <c r="H33" s="88">
        <f>10*LOG10(P1dbBWghz*1000000000*NseMeas!J33/NseMeas!BW)</f>
        <v>-31.680748499540137</v>
      </c>
      <c r="I33" s="4" t="b">
        <f t="shared" si="23"/>
        <v>0</v>
      </c>
      <c r="J33" s="87">
        <f>MAX(NseMeas!T33,K33/1000)</f>
        <v>1655049382.5011091</v>
      </c>
      <c r="K33" s="87">
        <f>NseMeas!S33</f>
        <v>3698103708.0648398</v>
      </c>
      <c r="L33" s="87">
        <f>NseMeas!X33</f>
        <v>2043054325.563731</v>
      </c>
      <c r="M33" s="88">
        <f t="shared" si="5"/>
        <v>43.163202203876551</v>
      </c>
      <c r="N33" s="87">
        <f>4*K33*NseMeas!K33*Jitter1H1s/SQRT($BZ$4)</f>
        <v>2.274545053770856</v>
      </c>
      <c r="O33" s="4">
        <f t="shared" si="24"/>
        <v>0.2</v>
      </c>
      <c r="P33" s="4">
        <f t="shared" si="6"/>
        <v>0.1</v>
      </c>
      <c r="Q33" s="86">
        <f>MAX(0.1,P33/(1+(NseMeas!J33*J33/(NseMeas!L33*L33))))</f>
        <v>0.1</v>
      </c>
      <c r="R33" s="86">
        <f>MAX(0.1,P33/(1+((NseMeas!L33*L33)/(NseMeas!J33*J33))))</f>
        <v>0.1</v>
      </c>
      <c r="S33" s="87">
        <f>MAX(Calibration!Q33,T33/1000)</f>
        <v>6.4485344474614736E-2</v>
      </c>
      <c r="T33" s="87">
        <f>Calibration!P33</f>
        <v>1.0644853444746147</v>
      </c>
      <c r="U33" s="87">
        <f>ABS(Calibration!S33)</f>
        <v>1</v>
      </c>
      <c r="V33" s="88">
        <f>T_0*(10^((O33+DashBoard!$N$6)/10)-1)-N33</f>
        <v>48.445745878692705</v>
      </c>
      <c r="W33" s="87">
        <f>4*T33*NseMeas!T33*Jitter1H1s/SQRT($BZ$4)</f>
        <v>2983778.0406039474</v>
      </c>
      <c r="X33" s="4">
        <f t="shared" si="27"/>
        <v>3793339673.9329286</v>
      </c>
      <c r="Y33" s="4">
        <f>MIN(DashBoard!$N$5/2, X33/2)</f>
        <v>5.5</v>
      </c>
      <c r="Z33" s="86">
        <f>MAX(0.1,Y33/(1+(Calibration!H33*S33/(Calibration!J33*U33))))</f>
        <v>1.3642261321074054</v>
      </c>
      <c r="AA33" s="86">
        <f>MAX(0.1,Y33/(1+((Calibration!J33*U33)/(Calibration!H33*S33))))</f>
        <v>4.1357738678925946</v>
      </c>
      <c r="AC33" s="4">
        <f t="shared" si="7"/>
        <v>4.1357738678925946</v>
      </c>
      <c r="AD33" s="4">
        <f t="shared" si="8"/>
        <v>5.5</v>
      </c>
      <c r="AE33" s="4">
        <f t="shared" si="9"/>
        <v>1.3642261321074054</v>
      </c>
      <c r="AF33" s="4">
        <f t="shared" si="10"/>
        <v>0.1</v>
      </c>
      <c r="AG33" s="4">
        <f t="shared" si="11"/>
        <v>0.1</v>
      </c>
      <c r="AH33" s="4">
        <f t="shared" si="12"/>
        <v>0.1</v>
      </c>
      <c r="AI33" s="4">
        <f t="shared" si="25"/>
        <v>0.30000000000000004</v>
      </c>
      <c r="AJ33" s="4">
        <f t="shared" si="26"/>
        <v>18.489999999999988</v>
      </c>
      <c r="AK33" s="4">
        <f t="shared" si="28"/>
        <v>13</v>
      </c>
      <c r="AL33" s="4">
        <f t="shared" si="13"/>
        <v>0</v>
      </c>
      <c r="AM33" s="4">
        <f t="shared" si="29"/>
        <v>0</v>
      </c>
      <c r="AN33" s="4">
        <f t="shared" si="30"/>
        <v>0</v>
      </c>
      <c r="AO33" s="4">
        <f t="shared" si="31"/>
        <v>0</v>
      </c>
      <c r="AP33" s="4">
        <f t="shared" si="32"/>
        <v>0</v>
      </c>
      <c r="AQ33" s="4">
        <f t="shared" si="33"/>
        <v>0</v>
      </c>
      <c r="AR33" s="4">
        <f t="shared" si="34"/>
        <v>0</v>
      </c>
      <c r="AS33" s="4">
        <f t="shared" si="35"/>
        <v>0</v>
      </c>
      <c r="AT33" s="4">
        <f t="shared" si="36"/>
        <v>0</v>
      </c>
      <c r="AU33" s="4">
        <f t="shared" si="37"/>
        <v>0</v>
      </c>
      <c r="AV33" s="4">
        <f t="shared" si="38"/>
        <v>0</v>
      </c>
      <c r="AW33" s="4">
        <f t="shared" si="39"/>
        <v>0</v>
      </c>
      <c r="AX33" s="4">
        <f t="shared" si="40"/>
        <v>13</v>
      </c>
      <c r="AY33" s="4">
        <f t="shared" si="41"/>
        <v>0</v>
      </c>
      <c r="AZ33" s="4">
        <f t="shared" si="42"/>
        <v>0</v>
      </c>
      <c r="BA33" s="4">
        <f t="shared" si="43"/>
        <v>0</v>
      </c>
      <c r="BB33" s="4">
        <f t="shared" si="44"/>
        <v>0</v>
      </c>
      <c r="BC33" s="4">
        <f t="shared" si="45"/>
        <v>0</v>
      </c>
      <c r="BD33" s="4">
        <f t="shared" si="46"/>
        <v>0</v>
      </c>
      <c r="BE33" s="4">
        <f t="shared" si="47"/>
        <v>0</v>
      </c>
      <c r="BF33" s="4">
        <f t="shared" si="48"/>
        <v>0</v>
      </c>
    </row>
    <row r="34" spans="1:58">
      <c r="A34" s="4">
        <f>MIN(StopFreqGHz+0.000001,FieldFox!A33+FreqStep)</f>
        <v>15.41200000000001</v>
      </c>
      <c r="B34" s="4">
        <f t="shared" si="18"/>
        <v>-158</v>
      </c>
      <c r="C34" s="4">
        <f t="shared" si="19"/>
        <v>2</v>
      </c>
      <c r="D34" s="4">
        <f t="shared" si="20"/>
        <v>0.33333333333333331</v>
      </c>
      <c r="E34" s="86">
        <f>NseMeas!H34</f>
        <v>438.4470651377784</v>
      </c>
      <c r="F34" s="4">
        <f t="shared" si="21"/>
        <v>4.0000000000000009</v>
      </c>
      <c r="G34" s="4">
        <f t="shared" si="22"/>
        <v>20</v>
      </c>
      <c r="H34" s="88">
        <f>10*LOG10(P1dbBWghz*1000000000*NseMeas!J34/NseMeas!BW)</f>
        <v>-31.543560724826577</v>
      </c>
      <c r="I34" s="4" t="b">
        <f t="shared" si="23"/>
        <v>0</v>
      </c>
      <c r="J34" s="87">
        <f>MAX(NseMeas!T34,K34/1000)</f>
        <v>1603553696.2548089</v>
      </c>
      <c r="K34" s="87">
        <f>NseMeas!S34</f>
        <v>3583037327.5104833</v>
      </c>
      <c r="L34" s="87">
        <f>NseMeas!X34</f>
        <v>1979483631.2556748</v>
      </c>
      <c r="M34" s="88">
        <f t="shared" si="5"/>
        <v>43.163202203876551</v>
      </c>
      <c r="N34" s="87">
        <f>4*K34*NseMeas!K34*Jitter1H1s/SQRT($BZ$4)</f>
        <v>2.2744388642461377</v>
      </c>
      <c r="O34" s="4">
        <f t="shared" si="24"/>
        <v>0.2</v>
      </c>
      <c r="P34" s="4">
        <f t="shared" si="6"/>
        <v>0.1</v>
      </c>
      <c r="Q34" s="86">
        <f>MAX(0.1,P34/(1+(NseMeas!J34*J34/(NseMeas!L34*L34))))</f>
        <v>0.1</v>
      </c>
      <c r="R34" s="86">
        <f>MAX(0.1,P34/(1+((NseMeas!L34*L34)/(NseMeas!J34*J34))))</f>
        <v>0.1</v>
      </c>
      <c r="S34" s="87">
        <f>MAX(Calibration!Q34,T34/1000)</f>
        <v>6.4485344474614736E-2</v>
      </c>
      <c r="T34" s="87">
        <f>Calibration!P34</f>
        <v>1.0644853444746147</v>
      </c>
      <c r="U34" s="87">
        <f>ABS(Calibration!S34)</f>
        <v>1</v>
      </c>
      <c r="V34" s="88">
        <f>T_0*(10^((O34+DashBoard!$N$6)/10)-1)-N34</f>
        <v>48.445852068217427</v>
      </c>
      <c r="W34" s="87">
        <f>4*T34*NseMeas!T34*Jitter1H1s/SQRT($BZ$4)</f>
        <v>2890939.9057228337</v>
      </c>
      <c r="X34" s="4">
        <f t="shared" si="27"/>
        <v>3560942251.3166666</v>
      </c>
      <c r="Y34" s="4">
        <f>MIN(DashBoard!$N$5/2, X34/2)</f>
        <v>5.5</v>
      </c>
      <c r="Z34" s="86">
        <f>MAX(0.1,Y34/(1+(Calibration!H34*S34/(Calibration!J34*U34))))</f>
        <v>1.3327094714828294</v>
      </c>
      <c r="AA34" s="86">
        <f>MAX(0.1,Y34/(1+((Calibration!J34*U34)/(Calibration!H34*S34))))</f>
        <v>4.16729052851717</v>
      </c>
      <c r="AC34" s="4">
        <f t="shared" si="7"/>
        <v>4.16729052851717</v>
      </c>
      <c r="AD34" s="4">
        <f t="shared" si="8"/>
        <v>5.5</v>
      </c>
      <c r="AE34" s="4">
        <f t="shared" si="9"/>
        <v>1.3327094714828294</v>
      </c>
      <c r="AF34" s="4">
        <f t="shared" si="10"/>
        <v>0.1</v>
      </c>
      <c r="AG34" s="4">
        <f t="shared" si="11"/>
        <v>0.1</v>
      </c>
      <c r="AH34" s="4">
        <f t="shared" si="12"/>
        <v>0.1</v>
      </c>
      <c r="AI34" s="4">
        <f t="shared" si="25"/>
        <v>0.30000000000000004</v>
      </c>
      <c r="AJ34" s="4">
        <f t="shared" si="26"/>
        <v>18.489999999999988</v>
      </c>
      <c r="AK34" s="4">
        <f t="shared" si="28"/>
        <v>13</v>
      </c>
      <c r="AL34" s="4">
        <f t="shared" si="13"/>
        <v>0</v>
      </c>
      <c r="AM34" s="4">
        <f t="shared" si="29"/>
        <v>0</v>
      </c>
      <c r="AN34" s="4">
        <f t="shared" si="30"/>
        <v>0</v>
      </c>
      <c r="AO34" s="4">
        <f t="shared" si="31"/>
        <v>0</v>
      </c>
      <c r="AP34" s="4">
        <f t="shared" si="32"/>
        <v>0</v>
      </c>
      <c r="AQ34" s="4">
        <f t="shared" si="33"/>
        <v>0</v>
      </c>
      <c r="AR34" s="4">
        <f t="shared" si="34"/>
        <v>0</v>
      </c>
      <c r="AS34" s="4">
        <f t="shared" si="35"/>
        <v>0</v>
      </c>
      <c r="AT34" s="4">
        <f t="shared" si="36"/>
        <v>0</v>
      </c>
      <c r="AU34" s="4">
        <f t="shared" si="37"/>
        <v>0</v>
      </c>
      <c r="AV34" s="4">
        <f t="shared" si="38"/>
        <v>0</v>
      </c>
      <c r="AW34" s="4">
        <f t="shared" si="39"/>
        <v>0</v>
      </c>
      <c r="AX34" s="4">
        <f t="shared" si="40"/>
        <v>13</v>
      </c>
      <c r="AY34" s="4">
        <f t="shared" si="41"/>
        <v>0</v>
      </c>
      <c r="AZ34" s="4">
        <f t="shared" si="42"/>
        <v>0</v>
      </c>
      <c r="BA34" s="4">
        <f t="shared" si="43"/>
        <v>0</v>
      </c>
      <c r="BB34" s="4">
        <f t="shared" si="44"/>
        <v>0</v>
      </c>
      <c r="BC34" s="4">
        <f t="shared" si="45"/>
        <v>0</v>
      </c>
      <c r="BD34" s="4">
        <f t="shared" si="46"/>
        <v>0</v>
      </c>
      <c r="BE34" s="4">
        <f t="shared" si="47"/>
        <v>0</v>
      </c>
      <c r="BF34" s="4">
        <f t="shared" si="48"/>
        <v>0</v>
      </c>
    </row>
    <row r="35" spans="1:58">
      <c r="A35" s="4">
        <f>MIN(StopFreqGHz+0.000001,FieldFox!A34+FreqStep)</f>
        <v>15.94000000000001</v>
      </c>
      <c r="B35" s="4">
        <f t="shared" si="18"/>
        <v>-158</v>
      </c>
      <c r="C35" s="4">
        <f t="shared" si="19"/>
        <v>2</v>
      </c>
      <c r="D35" s="4">
        <f t="shared" si="20"/>
        <v>0.33333333333333331</v>
      </c>
      <c r="E35" s="86">
        <f>NseMeas!H35</f>
        <v>438.4470651377784</v>
      </c>
      <c r="F35" s="4">
        <f t="shared" si="21"/>
        <v>4.0000000000000009</v>
      </c>
      <c r="G35" s="4">
        <f t="shared" si="22"/>
        <v>20</v>
      </c>
      <c r="H35" s="88">
        <f>10*LOG10(P1dbBWghz*1000000000*NseMeas!J35/NseMeas!BW)</f>
        <v>-31.406370082343461</v>
      </c>
      <c r="I35" s="4" t="b">
        <f t="shared" si="23"/>
        <v>0</v>
      </c>
      <c r="J35" s="87">
        <f>MAX(NseMeas!T35,K35/1000)</f>
        <v>1553660200.4213152</v>
      </c>
      <c r="K35" s="87">
        <f>NseMeas!S35</f>
        <v>3471551172.4726706</v>
      </c>
      <c r="L35" s="87">
        <f>NseMeas!X35</f>
        <v>1917890972.0513554</v>
      </c>
      <c r="M35" s="88">
        <f t="shared" si="5"/>
        <v>43.163202203876551</v>
      </c>
      <c r="N35" s="87">
        <f>4*K35*NseMeas!K35*Jitter1H1s/SQRT($BZ$4)</f>
        <v>2.2743359787471804</v>
      </c>
      <c r="O35" s="4">
        <f t="shared" si="24"/>
        <v>0.2</v>
      </c>
      <c r="P35" s="4">
        <f t="shared" si="6"/>
        <v>0.1</v>
      </c>
      <c r="Q35" s="86">
        <f>MAX(0.1,P35/(1+(NseMeas!J35*J35/(NseMeas!L35*L35))))</f>
        <v>0.1</v>
      </c>
      <c r="R35" s="86">
        <f>MAX(0.1,P35/(1+((NseMeas!L35*L35)/(NseMeas!J35*J35))))</f>
        <v>0.1</v>
      </c>
      <c r="S35" s="87">
        <f>MAX(Calibration!Q35,T35/1000)</f>
        <v>6.4485344474614736E-2</v>
      </c>
      <c r="T35" s="87">
        <f>Calibration!P35</f>
        <v>1.0644853444746147</v>
      </c>
      <c r="U35" s="87">
        <f>ABS(Calibration!S35)</f>
        <v>1</v>
      </c>
      <c r="V35" s="88">
        <f>T_0*(10^((O35+DashBoard!$N$6)/10)-1)-N35</f>
        <v>48.445954953716381</v>
      </c>
      <c r="W35" s="87">
        <f>4*T35*NseMeas!T35*Jitter1H1s/SQRT($BZ$4)</f>
        <v>2800990.2529747272</v>
      </c>
      <c r="X35" s="4">
        <f t="shared" si="27"/>
        <v>3342782755.1327739</v>
      </c>
      <c r="Y35" s="4">
        <f>MIN(DashBoard!$N$5/2, X35/2)</f>
        <v>5.5</v>
      </c>
      <c r="Z35" s="86">
        <f>MAX(0.1,Y35/(1+(Calibration!H35*S35/(Calibration!J35*U35))))</f>
        <v>1.3016722051964393</v>
      </c>
      <c r="AA35" s="86">
        <f>MAX(0.1,Y35/(1+((Calibration!J35*U35)/(Calibration!H35*S35))))</f>
        <v>4.1983277948035607</v>
      </c>
      <c r="AC35" s="4">
        <f t="shared" si="7"/>
        <v>4.1983277948035607</v>
      </c>
      <c r="AD35" s="4">
        <f t="shared" si="8"/>
        <v>5.5</v>
      </c>
      <c r="AE35" s="4">
        <f t="shared" si="9"/>
        <v>1.3016722051964393</v>
      </c>
      <c r="AF35" s="4">
        <f t="shared" si="10"/>
        <v>0.1</v>
      </c>
      <c r="AG35" s="4">
        <f t="shared" si="11"/>
        <v>0.1</v>
      </c>
      <c r="AH35" s="4">
        <f t="shared" si="12"/>
        <v>0.1</v>
      </c>
      <c r="AI35" s="4">
        <f t="shared" si="25"/>
        <v>0.30000000000000004</v>
      </c>
      <c r="AJ35" s="4">
        <f t="shared" si="26"/>
        <v>18.489999999999988</v>
      </c>
      <c r="AK35" s="4">
        <f t="shared" si="28"/>
        <v>13</v>
      </c>
      <c r="AL35" s="4">
        <f t="shared" si="13"/>
        <v>0</v>
      </c>
      <c r="AM35" s="4">
        <f t="shared" si="29"/>
        <v>0</v>
      </c>
      <c r="AN35" s="4">
        <f t="shared" si="30"/>
        <v>0</v>
      </c>
      <c r="AO35" s="4">
        <f t="shared" si="31"/>
        <v>0</v>
      </c>
      <c r="AP35" s="4">
        <f t="shared" si="32"/>
        <v>0</v>
      </c>
      <c r="AQ35" s="4">
        <f t="shared" si="33"/>
        <v>0</v>
      </c>
      <c r="AR35" s="4">
        <f t="shared" si="34"/>
        <v>0</v>
      </c>
      <c r="AS35" s="4">
        <f t="shared" si="35"/>
        <v>0</v>
      </c>
      <c r="AT35" s="4">
        <f t="shared" si="36"/>
        <v>0</v>
      </c>
      <c r="AU35" s="4">
        <f t="shared" si="37"/>
        <v>0</v>
      </c>
      <c r="AV35" s="4">
        <f t="shared" si="38"/>
        <v>0</v>
      </c>
      <c r="AW35" s="4">
        <f t="shared" si="39"/>
        <v>0</v>
      </c>
      <c r="AX35" s="4">
        <f t="shared" si="40"/>
        <v>13</v>
      </c>
      <c r="AY35" s="4">
        <f t="shared" si="41"/>
        <v>0</v>
      </c>
      <c r="AZ35" s="4">
        <f t="shared" si="42"/>
        <v>0</v>
      </c>
      <c r="BA35" s="4">
        <f t="shared" si="43"/>
        <v>0</v>
      </c>
      <c r="BB35" s="4">
        <f t="shared" si="44"/>
        <v>0</v>
      </c>
      <c r="BC35" s="4">
        <f t="shared" si="45"/>
        <v>0</v>
      </c>
      <c r="BD35" s="4">
        <f t="shared" si="46"/>
        <v>0</v>
      </c>
      <c r="BE35" s="4">
        <f t="shared" si="47"/>
        <v>0</v>
      </c>
      <c r="BF35" s="4">
        <f t="shared" si="48"/>
        <v>0</v>
      </c>
    </row>
    <row r="36" spans="1:58">
      <c r="A36" s="4">
        <f>MIN(StopFreqGHz+0.000001,FieldFox!A35+FreqStep)</f>
        <v>16.468000000000011</v>
      </c>
      <c r="B36" s="4">
        <f t="shared" si="18"/>
        <v>-158</v>
      </c>
      <c r="C36" s="4">
        <f t="shared" si="19"/>
        <v>2</v>
      </c>
      <c r="D36" s="4">
        <f t="shared" si="20"/>
        <v>0.33333333333333331</v>
      </c>
      <c r="E36" s="86">
        <f>NseMeas!H36</f>
        <v>438.4470651377784</v>
      </c>
      <c r="F36" s="4">
        <f t="shared" si="21"/>
        <v>4.0000000000000009</v>
      </c>
      <c r="G36" s="4">
        <f t="shared" si="22"/>
        <v>20</v>
      </c>
      <c r="H36" s="88">
        <f>10*LOG10(P1dbBWghz*1000000000*NseMeas!J36/NseMeas!BW)</f>
        <v>-31.269176661208572</v>
      </c>
      <c r="I36" s="4" t="b">
        <f t="shared" si="23"/>
        <v>0</v>
      </c>
      <c r="J36" s="87">
        <f>MAX(NseMeas!T36,K36/1000)</f>
        <v>1505319049.6461537</v>
      </c>
      <c r="K36" s="87">
        <f>NseMeas!S36</f>
        <v>3363533850.0094104</v>
      </c>
      <c r="L36" s="87">
        <f>NseMeas!X36</f>
        <v>1858214800.3632562</v>
      </c>
      <c r="M36" s="88">
        <f t="shared" si="5"/>
        <v>43.163202203876551</v>
      </c>
      <c r="N36" s="87">
        <f>4*K36*NseMeas!K36*Jitter1H1s/SQRT($BZ$4)</f>
        <v>2.2742362944746386</v>
      </c>
      <c r="O36" s="4">
        <f t="shared" si="24"/>
        <v>0.2</v>
      </c>
      <c r="P36" s="4">
        <f t="shared" si="6"/>
        <v>0.1</v>
      </c>
      <c r="Q36" s="86">
        <f>MAX(0.1,P36/(1+(NseMeas!J36*J36/(NseMeas!L36*L36))))</f>
        <v>0.1</v>
      </c>
      <c r="R36" s="86">
        <f>MAX(0.1,P36/(1+((NseMeas!L36*L36)/(NseMeas!J36*J36))))</f>
        <v>0.1</v>
      </c>
      <c r="S36" s="87">
        <f>MAX(Calibration!Q36,T36/1000)</f>
        <v>6.4485344474614736E-2</v>
      </c>
      <c r="T36" s="87">
        <f>Calibration!P36</f>
        <v>1.0644853444746147</v>
      </c>
      <c r="U36" s="87">
        <f>ABS(Calibration!S36)</f>
        <v>1</v>
      </c>
      <c r="V36" s="88">
        <f>T_0*(10^((O36+DashBoard!$N$6)/10)-1)-N36</f>
        <v>48.446054637988922</v>
      </c>
      <c r="W36" s="87">
        <f>4*T36*NseMeas!T36*Jitter1H1s/SQRT($BZ$4)</f>
        <v>2713839.2194977212</v>
      </c>
      <c r="X36" s="4">
        <f t="shared" si="27"/>
        <v>3137988875.4024701</v>
      </c>
      <c r="Y36" s="4">
        <f>MIN(DashBoard!$N$5/2, X36/2)</f>
        <v>5.5</v>
      </c>
      <c r="Z36" s="86">
        <f>MAX(0.1,Y36/(1+(Calibration!H36*S36/(Calibration!J36*U36))))</f>
        <v>1.2711186282191493</v>
      </c>
      <c r="AA36" s="86">
        <f>MAX(0.1,Y36/(1+((Calibration!J36*U36)/(Calibration!H36*S36))))</f>
        <v>4.2288813717808509</v>
      </c>
      <c r="AC36" s="4">
        <f t="shared" si="7"/>
        <v>4.2288813717808509</v>
      </c>
      <c r="AD36" s="4">
        <f t="shared" si="8"/>
        <v>5.5</v>
      </c>
      <c r="AE36" s="4">
        <f t="shared" si="9"/>
        <v>1.2711186282191493</v>
      </c>
      <c r="AF36" s="4">
        <f t="shared" si="10"/>
        <v>0.1</v>
      </c>
      <c r="AG36" s="4">
        <f t="shared" si="11"/>
        <v>0.1</v>
      </c>
      <c r="AH36" s="4">
        <f t="shared" si="12"/>
        <v>0.1</v>
      </c>
      <c r="AI36" s="4">
        <f t="shared" si="25"/>
        <v>0.30000000000000004</v>
      </c>
      <c r="AJ36" s="4">
        <f t="shared" si="26"/>
        <v>18.489999999999988</v>
      </c>
      <c r="AK36" s="4">
        <f t="shared" si="28"/>
        <v>13</v>
      </c>
      <c r="AL36" s="4">
        <f t="shared" si="13"/>
        <v>0</v>
      </c>
      <c r="AM36" s="4">
        <f t="shared" si="29"/>
        <v>0</v>
      </c>
      <c r="AN36" s="4">
        <f t="shared" si="30"/>
        <v>0</v>
      </c>
      <c r="AO36" s="4">
        <f t="shared" si="31"/>
        <v>0</v>
      </c>
      <c r="AP36" s="4">
        <f t="shared" si="32"/>
        <v>0</v>
      </c>
      <c r="AQ36" s="4">
        <f t="shared" si="33"/>
        <v>0</v>
      </c>
      <c r="AR36" s="4">
        <f t="shared" si="34"/>
        <v>0</v>
      </c>
      <c r="AS36" s="4">
        <f t="shared" si="35"/>
        <v>0</v>
      </c>
      <c r="AT36" s="4">
        <f t="shared" si="36"/>
        <v>0</v>
      </c>
      <c r="AU36" s="4">
        <f t="shared" si="37"/>
        <v>0</v>
      </c>
      <c r="AV36" s="4">
        <f t="shared" si="38"/>
        <v>0</v>
      </c>
      <c r="AW36" s="4">
        <f t="shared" si="39"/>
        <v>0</v>
      </c>
      <c r="AX36" s="4">
        <f t="shared" si="40"/>
        <v>13</v>
      </c>
      <c r="AY36" s="4">
        <f t="shared" si="41"/>
        <v>0</v>
      </c>
      <c r="AZ36" s="4">
        <f t="shared" si="42"/>
        <v>0</v>
      </c>
      <c r="BA36" s="4">
        <f t="shared" si="43"/>
        <v>0</v>
      </c>
      <c r="BB36" s="4">
        <f t="shared" si="44"/>
        <v>0</v>
      </c>
      <c r="BC36" s="4">
        <f t="shared" si="45"/>
        <v>0</v>
      </c>
      <c r="BD36" s="4">
        <f t="shared" si="46"/>
        <v>0</v>
      </c>
      <c r="BE36" s="4">
        <f t="shared" si="47"/>
        <v>0</v>
      </c>
      <c r="BF36" s="4">
        <f t="shared" si="48"/>
        <v>0</v>
      </c>
    </row>
    <row r="37" spans="1:58">
      <c r="A37" s="4">
        <f>MIN(StopFreqGHz+0.000001,FieldFox!A36+FreqStep)</f>
        <v>16.996000000000009</v>
      </c>
      <c r="B37" s="4">
        <f t="shared" si="18"/>
        <v>-158</v>
      </c>
      <c r="C37" s="4">
        <f t="shared" si="19"/>
        <v>2</v>
      </c>
      <c r="D37" s="4">
        <f t="shared" si="20"/>
        <v>0.33333333333333331</v>
      </c>
      <c r="E37" s="86">
        <f>NseMeas!H37</f>
        <v>438.4470651377784</v>
      </c>
      <c r="F37" s="4">
        <f t="shared" si="21"/>
        <v>4.0000000000000009</v>
      </c>
      <c r="G37" s="4">
        <f t="shared" si="22"/>
        <v>20</v>
      </c>
      <c r="H37" s="88">
        <f>10*LOG10(P1dbBWghz*1000000000*NseMeas!J37/NseMeas!BW)</f>
        <v>-31.131980547773722</v>
      </c>
      <c r="I37" s="4" t="b">
        <f t="shared" si="23"/>
        <v>0</v>
      </c>
      <c r="J37" s="87">
        <f>MAX(NseMeas!T37,K37/1000)</f>
        <v>1458481949.0714066</v>
      </c>
      <c r="K37" s="87">
        <f>NseMeas!S37</f>
        <v>3258877432.7603464</v>
      </c>
      <c r="L37" s="87">
        <f>NseMeas!X37</f>
        <v>1800395483.6889398</v>
      </c>
      <c r="M37" s="88">
        <f t="shared" ref="M37:M68" si="49">T_0*(10^((F37+MeasJitterGoal)/10)-1)-E37</f>
        <v>43.163202203876551</v>
      </c>
      <c r="N37" s="87">
        <f>4*K37*NseMeas!K37*Jitter1H1s/SQRT($BZ$4)</f>
        <v>2.2741397118273778</v>
      </c>
      <c r="O37" s="4">
        <f t="shared" ref="O37:O68" si="50">MIN(MeasMaxTime,MAX((N37/M37)^2,0.2))</f>
        <v>0.2</v>
      </c>
      <c r="P37" s="4">
        <f t="shared" ref="P37:P68" si="51">MIN(MeasMaxTime/2, O37/2)</f>
        <v>0.1</v>
      </c>
      <c r="Q37" s="86">
        <f>MAX(0.1,P37/(1+(NseMeas!J37*J37/(NseMeas!L37*L37))))</f>
        <v>0.1</v>
      </c>
      <c r="R37" s="86">
        <f>MAX(0.1,P37/(1+((NseMeas!L37*L37)/(NseMeas!J37*J37))))</f>
        <v>0.1</v>
      </c>
      <c r="S37" s="87">
        <f>MAX(Calibration!Q37,T37/1000)</f>
        <v>6.4485344474614736E-2</v>
      </c>
      <c r="T37" s="87">
        <f>Calibration!P37</f>
        <v>1.0644853444746147</v>
      </c>
      <c r="U37" s="87">
        <f>ABS(Calibration!S37)</f>
        <v>1</v>
      </c>
      <c r="V37" s="88">
        <f>T_0*(10^((O37+DashBoard!$N$6)/10)-1)-N37</f>
        <v>48.446151220636182</v>
      </c>
      <c r="W37" s="87">
        <f>4*T37*NseMeas!T37*Jitter1H1s/SQRT($BZ$4)</f>
        <v>2629399.7377166422</v>
      </c>
      <c r="X37" s="4">
        <f t="shared" si="27"/>
        <v>2945741747.2258849</v>
      </c>
      <c r="Y37" s="4">
        <f>MIN(DashBoard!$N$5/2, X37/2)</f>
        <v>5.5</v>
      </c>
      <c r="Z37" s="86">
        <f>MAX(0.1,Y37/(1+(Calibration!H37*S37/(Calibration!J37*U37))))</f>
        <v>1.2410524270972212</v>
      </c>
      <c r="AA37" s="86">
        <f>MAX(0.1,Y37/(1+((Calibration!J37*U37)/(Calibration!H37*S37))))</f>
        <v>4.2589475729027786</v>
      </c>
      <c r="AC37" s="4">
        <f t="shared" ref="AC37:AC68" si="52">IF(CalIntegrationType=1,FixedMeasTimeUC/3,AA37)</f>
        <v>4.2589475729027786</v>
      </c>
      <c r="AD37" s="4">
        <f t="shared" ref="AD37:AD68" si="53">IF(CalIntegrationType=1,FixedMeasTimeUC/3,Y37)</f>
        <v>5.5</v>
      </c>
      <c r="AE37" s="4">
        <f t="shared" ref="AE37:AE68" si="54">IF(CalIntegrationType=1,FixedMeasTimeUC/3,Z37)</f>
        <v>1.2410524270972212</v>
      </c>
      <c r="AF37" s="4">
        <f t="shared" ref="AF37:AF68" si="55">IF(IntegrationType=1,FixedMeasTime/3,R37)</f>
        <v>0.1</v>
      </c>
      <c r="AG37" s="4">
        <f t="shared" ref="AG37:AG68" si="56">IF(IntegrationType=1,FixedMeasTime/3,P37)</f>
        <v>0.1</v>
      </c>
      <c r="AH37" s="4">
        <f t="shared" ref="AH37:AH68" si="57">IF(IntegrationType=1,FixedMeasTime/3,P37)</f>
        <v>0.1</v>
      </c>
      <c r="AI37" s="4">
        <f t="shared" si="25"/>
        <v>0.30000000000000004</v>
      </c>
      <c r="AJ37" s="4">
        <f t="shared" si="26"/>
        <v>18.489999999999988</v>
      </c>
      <c r="AK37" s="4">
        <f t="shared" si="28"/>
        <v>13</v>
      </c>
      <c r="AL37" s="4">
        <f t="shared" si="13"/>
        <v>0</v>
      </c>
      <c r="AM37" s="4">
        <f t="shared" si="29"/>
        <v>0</v>
      </c>
      <c r="AN37" s="4">
        <f t="shared" si="30"/>
        <v>0</v>
      </c>
      <c r="AO37" s="4">
        <f t="shared" si="31"/>
        <v>0</v>
      </c>
      <c r="AP37" s="4">
        <f t="shared" si="32"/>
        <v>0</v>
      </c>
      <c r="AQ37" s="4">
        <f t="shared" si="33"/>
        <v>0</v>
      </c>
      <c r="AR37" s="4">
        <f t="shared" si="34"/>
        <v>0</v>
      </c>
      <c r="AS37" s="4">
        <f t="shared" si="35"/>
        <v>0</v>
      </c>
      <c r="AT37" s="4">
        <f t="shared" si="36"/>
        <v>0</v>
      </c>
      <c r="AU37" s="4">
        <f t="shared" si="37"/>
        <v>0</v>
      </c>
      <c r="AV37" s="4">
        <f t="shared" si="38"/>
        <v>0</v>
      </c>
      <c r="AW37" s="4">
        <f t="shared" si="39"/>
        <v>0</v>
      </c>
      <c r="AX37" s="4">
        <f t="shared" si="40"/>
        <v>13</v>
      </c>
      <c r="AY37" s="4">
        <f t="shared" si="41"/>
        <v>0</v>
      </c>
      <c r="AZ37" s="4">
        <f t="shared" si="42"/>
        <v>0</v>
      </c>
      <c r="BA37" s="4">
        <f t="shared" si="43"/>
        <v>0</v>
      </c>
      <c r="BB37" s="4">
        <f t="shared" si="44"/>
        <v>0</v>
      </c>
      <c r="BC37" s="4">
        <f t="shared" si="45"/>
        <v>0</v>
      </c>
      <c r="BD37" s="4">
        <f t="shared" si="46"/>
        <v>0</v>
      </c>
      <c r="BE37" s="4">
        <f t="shared" si="47"/>
        <v>0</v>
      </c>
      <c r="BF37" s="4">
        <f t="shared" si="48"/>
        <v>0</v>
      </c>
    </row>
    <row r="38" spans="1:58">
      <c r="A38" s="4">
        <f>MIN(StopFreqGHz+0.000001,FieldFox!A37+FreqStep)</f>
        <v>17.524000000000008</v>
      </c>
      <c r="B38" s="4">
        <f t="shared" si="18"/>
        <v>-158</v>
      </c>
      <c r="C38" s="4">
        <f t="shared" si="19"/>
        <v>2</v>
      </c>
      <c r="D38" s="4">
        <f t="shared" si="20"/>
        <v>0.33333333333333331</v>
      </c>
      <c r="E38" s="86">
        <f>NseMeas!H38</f>
        <v>438.4470651377784</v>
      </c>
      <c r="F38" s="4">
        <f t="shared" si="21"/>
        <v>4.0000000000000009</v>
      </c>
      <c r="G38" s="4">
        <f t="shared" si="22"/>
        <v>20</v>
      </c>
      <c r="H38" s="88">
        <f>10*LOG10(P1dbBWghz*1000000000*NseMeas!J38/NseMeas!BW)</f>
        <v>-30.994781825710412</v>
      </c>
      <c r="I38" s="4" t="b">
        <f t="shared" si="23"/>
        <v>0</v>
      </c>
      <c r="J38" s="87">
        <f>MAX(NseMeas!T38,K38/1000)</f>
        <v>1413102106.1198628</v>
      </c>
      <c r="K38" s="87">
        <f>NseMeas!S38</f>
        <v>3157477351.1420603</v>
      </c>
      <c r="L38" s="87">
        <f>NseMeas!X38</f>
        <v>1744375245.0221975</v>
      </c>
      <c r="M38" s="88">
        <f t="shared" si="49"/>
        <v>43.163202203876551</v>
      </c>
      <c r="N38" s="87">
        <f>4*K38*NseMeas!K38*Jitter1H1s/SQRT($BZ$4)</f>
        <v>2.2740461343030063</v>
      </c>
      <c r="O38" s="4">
        <f t="shared" si="50"/>
        <v>0.2</v>
      </c>
      <c r="P38" s="4">
        <f t="shared" si="51"/>
        <v>0.1</v>
      </c>
      <c r="Q38" s="86">
        <f>MAX(0.1,P38/(1+(NseMeas!J38*J38/(NseMeas!L38*L38))))</f>
        <v>0.1</v>
      </c>
      <c r="R38" s="86">
        <f>MAX(0.1,P38/(1+((NseMeas!L38*L38)/(NseMeas!J38*J38))))</f>
        <v>0.1</v>
      </c>
      <c r="S38" s="87">
        <f>MAX(Calibration!Q38,T38/1000)</f>
        <v>6.4485344474614736E-2</v>
      </c>
      <c r="T38" s="87">
        <f>Calibration!P38</f>
        <v>1.0644853444746147</v>
      </c>
      <c r="U38" s="87">
        <f>ABS(Calibration!S38)</f>
        <v>1</v>
      </c>
      <c r="V38" s="88">
        <f>T_0*(10^((O38+DashBoard!$N$6)/10)-1)-N38</f>
        <v>48.446244798160556</v>
      </c>
      <c r="W38" s="87">
        <f>4*T38*NseMeas!T38*Jitter1H1s/SQRT($BZ$4)</f>
        <v>2547587.4484179076</v>
      </c>
      <c r="X38" s="4">
        <f t="shared" si="27"/>
        <v>2765272676.1426888</v>
      </c>
      <c r="Y38" s="4">
        <f>MIN(DashBoard!$N$5/2, X38/2)</f>
        <v>5.5</v>
      </c>
      <c r="Z38" s="86">
        <f>MAX(0.1,Y38/(1+(Calibration!H38*S38/(Calibration!J38*U38))))</f>
        <v>1.2114766926496976</v>
      </c>
      <c r="AA38" s="86">
        <f>MAX(0.1,Y38/(1+((Calibration!J38*U38)/(Calibration!H38*S38))))</f>
        <v>4.2885233073503031</v>
      </c>
      <c r="AC38" s="4">
        <f t="shared" si="52"/>
        <v>4.2885233073503031</v>
      </c>
      <c r="AD38" s="4">
        <f t="shared" si="53"/>
        <v>5.5</v>
      </c>
      <c r="AE38" s="4">
        <f t="shared" si="54"/>
        <v>1.2114766926496976</v>
      </c>
      <c r="AF38" s="4">
        <f t="shared" si="55"/>
        <v>0.1</v>
      </c>
      <c r="AG38" s="4">
        <f t="shared" si="56"/>
        <v>0.1</v>
      </c>
      <c r="AH38" s="4">
        <f t="shared" si="57"/>
        <v>0.1</v>
      </c>
      <c r="AI38" s="4">
        <f t="shared" si="25"/>
        <v>0.30000000000000004</v>
      </c>
      <c r="AJ38" s="4">
        <f t="shared" si="26"/>
        <v>18.489999999999988</v>
      </c>
      <c r="AK38" s="4">
        <f t="shared" si="28"/>
        <v>14</v>
      </c>
      <c r="AL38" s="4">
        <f t="shared" si="13"/>
        <v>0</v>
      </c>
      <c r="AM38" s="4">
        <f t="shared" si="29"/>
        <v>0</v>
      </c>
      <c r="AN38" s="4">
        <f t="shared" si="30"/>
        <v>0</v>
      </c>
      <c r="AO38" s="4">
        <f t="shared" si="31"/>
        <v>0</v>
      </c>
      <c r="AP38" s="4">
        <f t="shared" si="32"/>
        <v>0</v>
      </c>
      <c r="AQ38" s="4">
        <f t="shared" si="33"/>
        <v>0</v>
      </c>
      <c r="AR38" s="4">
        <f t="shared" si="34"/>
        <v>0</v>
      </c>
      <c r="AS38" s="4">
        <f t="shared" si="35"/>
        <v>0</v>
      </c>
      <c r="AT38" s="4">
        <f t="shared" si="36"/>
        <v>0</v>
      </c>
      <c r="AU38" s="4">
        <f t="shared" si="37"/>
        <v>0</v>
      </c>
      <c r="AV38" s="4">
        <f t="shared" si="38"/>
        <v>0</v>
      </c>
      <c r="AW38" s="4">
        <f t="shared" si="39"/>
        <v>0</v>
      </c>
      <c r="AX38" s="4">
        <f t="shared" si="40"/>
        <v>0</v>
      </c>
      <c r="AY38" s="4">
        <f t="shared" si="41"/>
        <v>14</v>
      </c>
      <c r="AZ38" s="4">
        <f t="shared" si="42"/>
        <v>0</v>
      </c>
      <c r="BA38" s="4">
        <f t="shared" si="43"/>
        <v>0</v>
      </c>
      <c r="BB38" s="4">
        <f t="shared" si="44"/>
        <v>0</v>
      </c>
      <c r="BC38" s="4">
        <f t="shared" si="45"/>
        <v>0</v>
      </c>
      <c r="BD38" s="4">
        <f t="shared" si="46"/>
        <v>0</v>
      </c>
      <c r="BE38" s="4">
        <f t="shared" si="47"/>
        <v>0</v>
      </c>
      <c r="BF38" s="4">
        <f t="shared" si="48"/>
        <v>0</v>
      </c>
    </row>
    <row r="39" spans="1:58">
      <c r="A39" s="4">
        <f>MIN(StopFreqGHz+0.000001,FieldFox!A38+FreqStep)</f>
        <v>18.052000000000007</v>
      </c>
      <c r="B39" s="4">
        <f t="shared" si="18"/>
        <v>-157</v>
      </c>
      <c r="C39" s="4">
        <f t="shared" si="19"/>
        <v>2</v>
      </c>
      <c r="D39" s="4">
        <f t="shared" si="20"/>
        <v>0.33333333333333331</v>
      </c>
      <c r="E39" s="86">
        <f>NseMeas!H39</f>
        <v>438.4470651377784</v>
      </c>
      <c r="F39" s="4">
        <f t="shared" si="21"/>
        <v>4.0000000000000009</v>
      </c>
      <c r="G39" s="4">
        <f t="shared" si="22"/>
        <v>20</v>
      </c>
      <c r="H39" s="88">
        <f>10*LOG10(P1dbBWghz*1000000000*NseMeas!J39/NseMeas!BW)</f>
        <v>-30.856929239119136</v>
      </c>
      <c r="I39" s="4" t="b">
        <f t="shared" si="23"/>
        <v>0</v>
      </c>
      <c r="J39" s="87">
        <f>MAX(NseMeas!T39,K39/1000)</f>
        <v>1369134183.7776532</v>
      </c>
      <c r="K39" s="87">
        <f>NseMeas!S39</f>
        <v>3059232288.8959732</v>
      </c>
      <c r="L39" s="87">
        <f>NseMeas!X39</f>
        <v>1690098105.1183202</v>
      </c>
      <c r="M39" s="88">
        <f t="shared" si="49"/>
        <v>43.163202203876551</v>
      </c>
      <c r="N39" s="87">
        <f>4*K39*NseMeas!K39*Jitter1H1s/SQRT($BZ$4)</f>
        <v>2.2747145198552783</v>
      </c>
      <c r="O39" s="4">
        <f t="shared" si="50"/>
        <v>0.2</v>
      </c>
      <c r="P39" s="4">
        <f t="shared" si="51"/>
        <v>0.1</v>
      </c>
      <c r="Q39" s="86">
        <f>MAX(0.1,P39/(1+(NseMeas!J39*J39/(NseMeas!L39*L39))))</f>
        <v>0.1</v>
      </c>
      <c r="R39" s="86">
        <f>MAX(0.1,P39/(1+((NseMeas!L39*L39)/(NseMeas!J39*J39))))</f>
        <v>0.1</v>
      </c>
      <c r="S39" s="87">
        <f>MAX(Calibration!Q39,T39/1000)</f>
        <v>6.4485344474614736E-2</v>
      </c>
      <c r="T39" s="87">
        <f>Calibration!P39</f>
        <v>1.0644853444746147</v>
      </c>
      <c r="U39" s="87">
        <f>ABS(Calibration!S39)</f>
        <v>1</v>
      </c>
      <c r="V39" s="88">
        <f>T_0*(10^((O39+DashBoard!$N$6)/10)-1)-N39</f>
        <v>48.445576412608283</v>
      </c>
      <c r="W39" s="87">
        <f>4*T39*NseMeas!T39*Jitter1H1s/SQRT($BZ$4)</f>
        <v>2468320.6165259136</v>
      </c>
      <c r="X39" s="4">
        <f t="shared" si="27"/>
        <v>2595941409.3149829</v>
      </c>
      <c r="Y39" s="4">
        <f>MIN(DashBoard!$N$5/2, X39/2)</f>
        <v>5.5</v>
      </c>
      <c r="Z39" s="86">
        <f>MAX(0.1,Y39/(1+(Calibration!H39*S39/(Calibration!J39*U39))))</f>
        <v>1.405168226650074</v>
      </c>
      <c r="AA39" s="86">
        <f>MAX(0.1,Y39/(1+((Calibration!J39*U39)/(Calibration!H39*S39))))</f>
        <v>4.0948317733499255</v>
      </c>
      <c r="AC39" s="4">
        <f t="shared" si="52"/>
        <v>4.0948317733499255</v>
      </c>
      <c r="AD39" s="4">
        <f t="shared" si="53"/>
        <v>5.5</v>
      </c>
      <c r="AE39" s="4">
        <f t="shared" si="54"/>
        <v>1.405168226650074</v>
      </c>
      <c r="AF39" s="4">
        <f t="shared" si="55"/>
        <v>0.1</v>
      </c>
      <c r="AG39" s="4">
        <f t="shared" si="56"/>
        <v>0.1</v>
      </c>
      <c r="AH39" s="4">
        <f t="shared" si="57"/>
        <v>0.1</v>
      </c>
      <c r="AI39" s="4">
        <f t="shared" si="25"/>
        <v>0.30000000000000004</v>
      </c>
      <c r="AJ39" s="4">
        <f t="shared" si="26"/>
        <v>19.489999999999988</v>
      </c>
      <c r="AK39" s="4">
        <f t="shared" si="28"/>
        <v>15</v>
      </c>
      <c r="AL39" s="4">
        <f t="shared" si="13"/>
        <v>0</v>
      </c>
      <c r="AM39" s="4">
        <f t="shared" si="29"/>
        <v>0</v>
      </c>
      <c r="AN39" s="4">
        <f t="shared" si="30"/>
        <v>0</v>
      </c>
      <c r="AO39" s="4">
        <f t="shared" si="31"/>
        <v>0</v>
      </c>
      <c r="AP39" s="4">
        <f t="shared" si="32"/>
        <v>0</v>
      </c>
      <c r="AQ39" s="4">
        <f t="shared" si="33"/>
        <v>0</v>
      </c>
      <c r="AR39" s="4">
        <f t="shared" si="34"/>
        <v>0</v>
      </c>
      <c r="AS39" s="4">
        <f t="shared" si="35"/>
        <v>0</v>
      </c>
      <c r="AT39" s="4">
        <f t="shared" si="36"/>
        <v>0</v>
      </c>
      <c r="AU39" s="4">
        <f t="shared" si="37"/>
        <v>0</v>
      </c>
      <c r="AV39" s="4">
        <f t="shared" si="38"/>
        <v>0</v>
      </c>
      <c r="AW39" s="4">
        <f t="shared" si="39"/>
        <v>0</v>
      </c>
      <c r="AX39" s="4">
        <f t="shared" si="40"/>
        <v>0</v>
      </c>
      <c r="AY39" s="4">
        <f t="shared" si="41"/>
        <v>0</v>
      </c>
      <c r="AZ39" s="4">
        <f t="shared" si="42"/>
        <v>15</v>
      </c>
      <c r="BA39" s="4">
        <f t="shared" si="43"/>
        <v>0</v>
      </c>
      <c r="BB39" s="4">
        <f t="shared" si="44"/>
        <v>0</v>
      </c>
      <c r="BC39" s="4">
        <f t="shared" si="45"/>
        <v>0</v>
      </c>
      <c r="BD39" s="4">
        <f t="shared" si="46"/>
        <v>0</v>
      </c>
      <c r="BE39" s="4">
        <f t="shared" si="47"/>
        <v>0</v>
      </c>
      <c r="BF39" s="4">
        <f t="shared" si="48"/>
        <v>0</v>
      </c>
    </row>
    <row r="40" spans="1:58">
      <c r="A40" s="4">
        <f>MIN(StopFreqGHz+0.000001,FieldFox!A39+FreqStep)</f>
        <v>18.580000000000005</v>
      </c>
      <c r="B40" s="4">
        <f t="shared" si="18"/>
        <v>-157</v>
      </c>
      <c r="C40" s="4">
        <f t="shared" si="19"/>
        <v>2</v>
      </c>
      <c r="D40" s="4">
        <f t="shared" si="20"/>
        <v>0.33333333333333331</v>
      </c>
      <c r="E40" s="86">
        <f>NseMeas!H40</f>
        <v>438.4470651377784</v>
      </c>
      <c r="F40" s="4">
        <f t="shared" si="21"/>
        <v>4.0000000000000009</v>
      </c>
      <c r="G40" s="4">
        <f t="shared" si="22"/>
        <v>20</v>
      </c>
      <c r="H40" s="88">
        <f>10*LOG10(P1dbBWghz*1000000000*NseMeas!J40/NseMeas!BW)</f>
        <v>-30.714787266997202</v>
      </c>
      <c r="I40" s="4" t="b">
        <f t="shared" si="23"/>
        <v>0</v>
      </c>
      <c r="J40" s="87">
        <f>MAX(NseMeas!T40,K40/1000)</f>
        <v>1326534255.3288665</v>
      </c>
      <c r="K40" s="87">
        <f>NseMeas!S40</f>
        <v>2964044081.8846679</v>
      </c>
      <c r="L40" s="87">
        <f>NseMeas!X40</f>
        <v>1637509826.5558016</v>
      </c>
      <c r="M40" s="88">
        <f t="shared" si="49"/>
        <v>43.163202203876551</v>
      </c>
      <c r="N40" s="87">
        <f>4*K40*NseMeas!K40*Jitter1H1s/SQRT($BZ$4)</f>
        <v>2.2803852061633734</v>
      </c>
      <c r="O40" s="4">
        <f t="shared" si="50"/>
        <v>0.2</v>
      </c>
      <c r="P40" s="4">
        <f t="shared" si="51"/>
        <v>0.1</v>
      </c>
      <c r="Q40" s="86">
        <f>MAX(0.1,P40/(1+(NseMeas!J40*J40/(NseMeas!L40*L40))))</f>
        <v>0.1</v>
      </c>
      <c r="R40" s="86">
        <f>MAX(0.1,P40/(1+((NseMeas!L40*L40)/(NseMeas!J40*J40))))</f>
        <v>0.1</v>
      </c>
      <c r="S40" s="87">
        <f>MAX(Calibration!Q40,T40/1000)</f>
        <v>6.4485344474614736E-2</v>
      </c>
      <c r="T40" s="87">
        <f>Calibration!P40</f>
        <v>1.0644853444746147</v>
      </c>
      <c r="U40" s="87">
        <f>ABS(Calibration!S40)</f>
        <v>1</v>
      </c>
      <c r="V40" s="88">
        <f>T_0*(10^((O40+DashBoard!$N$6)/10)-1)-N40</f>
        <v>48.439905726300189</v>
      </c>
      <c r="W40" s="87">
        <f>4*T40*NseMeas!T40*Jitter1H1s/SQRT($BZ$4)</f>
        <v>2391520.0494970898</v>
      </c>
      <c r="X40" s="4">
        <f t="shared" si="27"/>
        <v>2437482317.5163546</v>
      </c>
      <c r="Y40" s="4">
        <f>MIN(DashBoard!$N$5/2, X40/2)</f>
        <v>5.5</v>
      </c>
      <c r="Z40" s="86">
        <f>MAX(0.1,Y40/(1+(Calibration!H40*S40/(Calibration!J40*U40))))</f>
        <v>1.3382281593191578</v>
      </c>
      <c r="AA40" s="86">
        <f>MAX(0.1,Y40/(1+((Calibration!J40*U40)/(Calibration!H40*S40))))</f>
        <v>4.1617718406808422</v>
      </c>
      <c r="AC40" s="4">
        <f t="shared" si="52"/>
        <v>4.1617718406808422</v>
      </c>
      <c r="AD40" s="4">
        <f t="shared" si="53"/>
        <v>5.5</v>
      </c>
      <c r="AE40" s="4">
        <f t="shared" si="54"/>
        <v>1.3382281593191578</v>
      </c>
      <c r="AF40" s="4">
        <f t="shared" si="55"/>
        <v>0.1</v>
      </c>
      <c r="AG40" s="4">
        <f t="shared" si="56"/>
        <v>0.1</v>
      </c>
      <c r="AH40" s="4">
        <f t="shared" si="57"/>
        <v>0.1</v>
      </c>
      <c r="AI40" s="4">
        <f t="shared" si="25"/>
        <v>0.30000000000000004</v>
      </c>
      <c r="AJ40" s="4">
        <f t="shared" si="26"/>
        <v>19.489999999999988</v>
      </c>
      <c r="AK40" s="4">
        <f t="shared" si="28"/>
        <v>15</v>
      </c>
      <c r="AL40" s="4">
        <f t="shared" si="13"/>
        <v>0</v>
      </c>
      <c r="AM40" s="4">
        <f t="shared" si="29"/>
        <v>0</v>
      </c>
      <c r="AN40" s="4">
        <f t="shared" si="30"/>
        <v>0</v>
      </c>
      <c r="AO40" s="4">
        <f t="shared" si="31"/>
        <v>0</v>
      </c>
      <c r="AP40" s="4">
        <f t="shared" si="32"/>
        <v>0</v>
      </c>
      <c r="AQ40" s="4">
        <f t="shared" si="33"/>
        <v>0</v>
      </c>
      <c r="AR40" s="4">
        <f t="shared" si="34"/>
        <v>0</v>
      </c>
      <c r="AS40" s="4">
        <f t="shared" si="35"/>
        <v>0</v>
      </c>
      <c r="AT40" s="4">
        <f t="shared" si="36"/>
        <v>0</v>
      </c>
      <c r="AU40" s="4">
        <f t="shared" si="37"/>
        <v>0</v>
      </c>
      <c r="AV40" s="4">
        <f t="shared" si="38"/>
        <v>0</v>
      </c>
      <c r="AW40" s="4">
        <f t="shared" si="39"/>
        <v>0</v>
      </c>
      <c r="AX40" s="4">
        <f t="shared" si="40"/>
        <v>0</v>
      </c>
      <c r="AY40" s="4">
        <f t="shared" si="41"/>
        <v>0</v>
      </c>
      <c r="AZ40" s="4">
        <f t="shared" si="42"/>
        <v>15</v>
      </c>
      <c r="BA40" s="4">
        <f t="shared" si="43"/>
        <v>0</v>
      </c>
      <c r="BB40" s="4">
        <f t="shared" si="44"/>
        <v>0</v>
      </c>
      <c r="BC40" s="4">
        <f t="shared" si="45"/>
        <v>0</v>
      </c>
      <c r="BD40" s="4">
        <f t="shared" si="46"/>
        <v>0</v>
      </c>
      <c r="BE40" s="4">
        <f t="shared" si="47"/>
        <v>0</v>
      </c>
      <c r="BF40" s="4">
        <f t="shared" si="48"/>
        <v>0</v>
      </c>
    </row>
    <row r="41" spans="1:58">
      <c r="A41" s="4">
        <f>MIN(StopFreqGHz+0.000001,FieldFox!A40+FreqStep)</f>
        <v>19.108000000000004</v>
      </c>
      <c r="B41" s="4">
        <f t="shared" si="18"/>
        <v>-157</v>
      </c>
      <c r="C41" s="4">
        <f t="shared" si="19"/>
        <v>2</v>
      </c>
      <c r="D41" s="4">
        <f t="shared" si="20"/>
        <v>0.33333333333333331</v>
      </c>
      <c r="E41" s="86">
        <f>NseMeas!H41</f>
        <v>438.4470651377784</v>
      </c>
      <c r="F41" s="4">
        <f t="shared" si="21"/>
        <v>4.0000000000000009</v>
      </c>
      <c r="G41" s="4">
        <f t="shared" si="22"/>
        <v>20</v>
      </c>
      <c r="H41" s="88">
        <f>10*LOG10(P1dbBWghz*1000000000*NseMeas!J41/NseMeas!BW)</f>
        <v>-30.577600713430066</v>
      </c>
      <c r="I41" s="4" t="b">
        <f t="shared" si="23"/>
        <v>0</v>
      </c>
      <c r="J41" s="87">
        <f>MAX(NseMeas!T41,K41/1000)</f>
        <v>1285259760.4971137</v>
      </c>
      <c r="K41" s="87">
        <f>NseMeas!S41</f>
        <v>2871817620.0357428</v>
      </c>
      <c r="L41" s="87">
        <f>NseMeas!X41</f>
        <v>1586557859.53863</v>
      </c>
      <c r="M41" s="88">
        <f t="shared" si="49"/>
        <v>43.163202203876551</v>
      </c>
      <c r="N41" s="87">
        <f>4*K41*NseMeas!K41*Jitter1H1s/SQRT($BZ$4)</f>
        <v>2.2802772141112064</v>
      </c>
      <c r="O41" s="4">
        <f t="shared" si="50"/>
        <v>0.2</v>
      </c>
      <c r="P41" s="4">
        <f t="shared" si="51"/>
        <v>0.1</v>
      </c>
      <c r="Q41" s="86">
        <f>MAX(0.1,P41/(1+(NseMeas!J41*J41/(NseMeas!L41*L41))))</f>
        <v>0.1</v>
      </c>
      <c r="R41" s="86">
        <f>MAX(0.1,P41/(1+((NseMeas!L41*L41)/(NseMeas!J41*J41))))</f>
        <v>0.1</v>
      </c>
      <c r="S41" s="87">
        <f>MAX(Calibration!Q41,T41/1000)</f>
        <v>6.4485344474614736E-2</v>
      </c>
      <c r="T41" s="87">
        <f>Calibration!P41</f>
        <v>1.0644853444746147</v>
      </c>
      <c r="U41" s="87">
        <f>ABS(Calibration!S41)</f>
        <v>1</v>
      </c>
      <c r="V41" s="88">
        <f>T_0*(10^((O41+DashBoard!$N$6)/10)-1)-N41</f>
        <v>48.440013718352354</v>
      </c>
      <c r="W41" s="87">
        <f>4*T41*NseMeas!T41*Jitter1H1s/SQRT($BZ$4)</f>
        <v>2317109.0182504603</v>
      </c>
      <c r="X41" s="4">
        <f t="shared" si="27"/>
        <v>2288149624.7874169</v>
      </c>
      <c r="Y41" s="4">
        <f>MIN(DashBoard!$N$5/2, X41/2)</f>
        <v>5.5</v>
      </c>
      <c r="Z41" s="86">
        <f>MAX(0.1,Y41/(1+(Calibration!H41*S41/(Calibration!J41*U41))))</f>
        <v>1.3071095012199769</v>
      </c>
      <c r="AA41" s="86">
        <f>MAX(0.1,Y41/(1+((Calibration!J41*U41)/(Calibration!H41*S41))))</f>
        <v>4.1928904987800228</v>
      </c>
      <c r="AC41" s="4">
        <f t="shared" si="52"/>
        <v>4.1928904987800228</v>
      </c>
      <c r="AD41" s="4">
        <f t="shared" si="53"/>
        <v>5.5</v>
      </c>
      <c r="AE41" s="4">
        <f t="shared" si="54"/>
        <v>1.3071095012199769</v>
      </c>
      <c r="AF41" s="4">
        <f t="shared" si="55"/>
        <v>0.1</v>
      </c>
      <c r="AG41" s="4">
        <f t="shared" si="56"/>
        <v>0.1</v>
      </c>
      <c r="AH41" s="4">
        <f t="shared" si="57"/>
        <v>0.1</v>
      </c>
      <c r="AI41" s="4">
        <f t="shared" si="25"/>
        <v>0.30000000000000004</v>
      </c>
      <c r="AJ41" s="4">
        <f t="shared" si="26"/>
        <v>19.489999999999988</v>
      </c>
      <c r="AK41" s="4">
        <f t="shared" si="28"/>
        <v>15</v>
      </c>
      <c r="AL41" s="4">
        <f t="shared" si="13"/>
        <v>0</v>
      </c>
      <c r="AM41" s="4">
        <f t="shared" si="29"/>
        <v>0</v>
      </c>
      <c r="AN41" s="4">
        <f t="shared" si="30"/>
        <v>0</v>
      </c>
      <c r="AO41" s="4">
        <f t="shared" si="31"/>
        <v>0</v>
      </c>
      <c r="AP41" s="4">
        <f t="shared" si="32"/>
        <v>0</v>
      </c>
      <c r="AQ41" s="4">
        <f t="shared" si="33"/>
        <v>0</v>
      </c>
      <c r="AR41" s="4">
        <f t="shared" si="34"/>
        <v>0</v>
      </c>
      <c r="AS41" s="4">
        <f t="shared" si="35"/>
        <v>0</v>
      </c>
      <c r="AT41" s="4">
        <f t="shared" si="36"/>
        <v>0</v>
      </c>
      <c r="AU41" s="4">
        <f t="shared" si="37"/>
        <v>0</v>
      </c>
      <c r="AV41" s="4">
        <f t="shared" si="38"/>
        <v>0</v>
      </c>
      <c r="AW41" s="4">
        <f t="shared" si="39"/>
        <v>0</v>
      </c>
      <c r="AX41" s="4">
        <f t="shared" si="40"/>
        <v>0</v>
      </c>
      <c r="AY41" s="4">
        <f t="shared" si="41"/>
        <v>0</v>
      </c>
      <c r="AZ41" s="4">
        <f t="shared" si="42"/>
        <v>15</v>
      </c>
      <c r="BA41" s="4">
        <f t="shared" si="43"/>
        <v>0</v>
      </c>
      <c r="BB41" s="4">
        <f t="shared" si="44"/>
        <v>0</v>
      </c>
      <c r="BC41" s="4">
        <f t="shared" si="45"/>
        <v>0</v>
      </c>
      <c r="BD41" s="4">
        <f t="shared" si="46"/>
        <v>0</v>
      </c>
      <c r="BE41" s="4">
        <f t="shared" si="47"/>
        <v>0</v>
      </c>
      <c r="BF41" s="4">
        <f t="shared" si="48"/>
        <v>0</v>
      </c>
    </row>
    <row r="42" spans="1:58">
      <c r="A42" s="4">
        <f>MIN(StopFreqGHz+0.000001,FieldFox!A41+FreqStep)</f>
        <v>19.636000000000003</v>
      </c>
      <c r="B42" s="4">
        <f t="shared" si="18"/>
        <v>-157</v>
      </c>
      <c r="C42" s="4">
        <f t="shared" si="19"/>
        <v>2</v>
      </c>
      <c r="D42" s="4">
        <f t="shared" si="20"/>
        <v>0.33333333333333331</v>
      </c>
      <c r="E42" s="86">
        <f>NseMeas!H42</f>
        <v>438.4470651377784</v>
      </c>
      <c r="F42" s="4">
        <f t="shared" si="21"/>
        <v>4.0000000000000009</v>
      </c>
      <c r="G42" s="4">
        <f t="shared" si="22"/>
        <v>20</v>
      </c>
      <c r="H42" s="88">
        <f>10*LOG10(P1dbBWghz*1000000000*NseMeas!J42/NseMeas!BW)</f>
        <v>-30.440411254146564</v>
      </c>
      <c r="I42" s="4" t="b">
        <f t="shared" si="23"/>
        <v>0</v>
      </c>
      <c r="J42" s="87">
        <f>MAX(NseMeas!T42,K42/1000)</f>
        <v>1245269462.9502709</v>
      </c>
      <c r="K42" s="87">
        <f>NseMeas!S42</f>
        <v>2782460752.3351936</v>
      </c>
      <c r="L42" s="87">
        <f>NseMeas!X42</f>
        <v>1537191289.3849225</v>
      </c>
      <c r="M42" s="88">
        <f t="shared" si="49"/>
        <v>43.163202203876551</v>
      </c>
      <c r="N42" s="87">
        <f>4*K42*NseMeas!K42*Jitter1H1s/SQRT($BZ$4)</f>
        <v>2.2801725821931296</v>
      </c>
      <c r="O42" s="4">
        <f t="shared" si="50"/>
        <v>0.2</v>
      </c>
      <c r="P42" s="4">
        <f t="shared" si="51"/>
        <v>0.1</v>
      </c>
      <c r="Q42" s="86">
        <f>MAX(0.1,P42/(1+(NseMeas!J42*J42/(NseMeas!L42*L42))))</f>
        <v>0.1</v>
      </c>
      <c r="R42" s="86">
        <f>MAX(0.1,P42/(1+((NseMeas!L42*L42)/(NseMeas!J42*J42))))</f>
        <v>0.1</v>
      </c>
      <c r="S42" s="87">
        <f>MAX(Calibration!Q42,T42/1000)</f>
        <v>6.4485344474614736E-2</v>
      </c>
      <c r="T42" s="87">
        <f>Calibration!P42</f>
        <v>1.0644853444746147</v>
      </c>
      <c r="U42" s="87">
        <f>ABS(Calibration!S42)</f>
        <v>1</v>
      </c>
      <c r="V42" s="88">
        <f>T_0*(10^((O42+DashBoard!$N$6)/10)-1)-N42</f>
        <v>48.440118350270431</v>
      </c>
      <c r="W42" s="87">
        <f>4*T42*NseMeas!T42*Jitter1H1s/SQRT($BZ$4)</f>
        <v>2245013.1805557767</v>
      </c>
      <c r="X42" s="4">
        <f t="shared" si="27"/>
        <v>2147965982.3939342</v>
      </c>
      <c r="Y42" s="4">
        <f>MIN(DashBoard!$N$5/2, X42/2)</f>
        <v>5.5</v>
      </c>
      <c r="Z42" s="86">
        <f>MAX(0.1,Y42/(1+(Calibration!H42*S42/(Calibration!J42*U42))))</f>
        <v>1.2764736087148787</v>
      </c>
      <c r="AA42" s="86">
        <f>MAX(0.1,Y42/(1+((Calibration!J42*U42)/(Calibration!H42*S42))))</f>
        <v>4.2235263912851213</v>
      </c>
      <c r="AC42" s="4">
        <f t="shared" si="52"/>
        <v>4.2235263912851213</v>
      </c>
      <c r="AD42" s="4">
        <f t="shared" si="53"/>
        <v>5.5</v>
      </c>
      <c r="AE42" s="4">
        <f t="shared" si="54"/>
        <v>1.2764736087148787</v>
      </c>
      <c r="AF42" s="4">
        <f t="shared" si="55"/>
        <v>0.1</v>
      </c>
      <c r="AG42" s="4">
        <f t="shared" si="56"/>
        <v>0.1</v>
      </c>
      <c r="AH42" s="4">
        <f t="shared" si="57"/>
        <v>0.1</v>
      </c>
      <c r="AI42" s="4">
        <f t="shared" si="25"/>
        <v>0.30000000000000004</v>
      </c>
      <c r="AJ42" s="4">
        <f t="shared" si="26"/>
        <v>19.489999999999988</v>
      </c>
      <c r="AK42" s="4">
        <f t="shared" si="28"/>
        <v>15</v>
      </c>
      <c r="AL42" s="4">
        <f t="shared" si="13"/>
        <v>0</v>
      </c>
      <c r="AM42" s="4">
        <f t="shared" si="29"/>
        <v>0</v>
      </c>
      <c r="AN42" s="4">
        <f t="shared" si="30"/>
        <v>0</v>
      </c>
      <c r="AO42" s="4">
        <f t="shared" si="31"/>
        <v>0</v>
      </c>
      <c r="AP42" s="4">
        <f t="shared" si="32"/>
        <v>0</v>
      </c>
      <c r="AQ42" s="4">
        <f t="shared" si="33"/>
        <v>0</v>
      </c>
      <c r="AR42" s="4">
        <f t="shared" si="34"/>
        <v>0</v>
      </c>
      <c r="AS42" s="4">
        <f t="shared" si="35"/>
        <v>0</v>
      </c>
      <c r="AT42" s="4">
        <f t="shared" si="36"/>
        <v>0</v>
      </c>
      <c r="AU42" s="4">
        <f t="shared" si="37"/>
        <v>0</v>
      </c>
      <c r="AV42" s="4">
        <f t="shared" si="38"/>
        <v>0</v>
      </c>
      <c r="AW42" s="4">
        <f t="shared" si="39"/>
        <v>0</v>
      </c>
      <c r="AX42" s="4">
        <f t="shared" si="40"/>
        <v>0</v>
      </c>
      <c r="AY42" s="4">
        <f t="shared" si="41"/>
        <v>0</v>
      </c>
      <c r="AZ42" s="4">
        <f t="shared" si="42"/>
        <v>15</v>
      </c>
      <c r="BA42" s="4">
        <f t="shared" si="43"/>
        <v>0</v>
      </c>
      <c r="BB42" s="4">
        <f t="shared" si="44"/>
        <v>0</v>
      </c>
      <c r="BC42" s="4">
        <f t="shared" si="45"/>
        <v>0</v>
      </c>
      <c r="BD42" s="4">
        <f t="shared" si="46"/>
        <v>0</v>
      </c>
      <c r="BE42" s="4">
        <f t="shared" si="47"/>
        <v>0</v>
      </c>
      <c r="BF42" s="4">
        <f t="shared" si="48"/>
        <v>0</v>
      </c>
    </row>
    <row r="43" spans="1:58">
      <c r="A43" s="4">
        <f>MIN(StopFreqGHz+0.000001,FieldFox!A42+FreqStep)</f>
        <v>20.164000000000001</v>
      </c>
      <c r="B43" s="4">
        <f t="shared" si="18"/>
        <v>-157</v>
      </c>
      <c r="C43" s="4">
        <f t="shared" si="19"/>
        <v>2</v>
      </c>
      <c r="D43" s="4">
        <f t="shared" si="20"/>
        <v>0.33333333333333331</v>
      </c>
      <c r="E43" s="86">
        <f>NseMeas!H43</f>
        <v>438.4470651377784</v>
      </c>
      <c r="F43" s="4">
        <f t="shared" si="21"/>
        <v>4.0000000000000009</v>
      </c>
      <c r="G43" s="4">
        <f t="shared" si="22"/>
        <v>20</v>
      </c>
      <c r="H43" s="88">
        <f>10*LOG10(P1dbBWghz*1000000000*NseMeas!J43/NseMeas!BW)</f>
        <v>-30.303218979442171</v>
      </c>
      <c r="I43" s="4" t="b">
        <f t="shared" si="23"/>
        <v>0</v>
      </c>
      <c r="J43" s="87">
        <f>MAX(NseMeas!T43,K43/1000)</f>
        <v>1206523409.1261599</v>
      </c>
      <c r="K43" s="87">
        <f>NseMeas!S43</f>
        <v>2695884194.7756839</v>
      </c>
      <c r="L43" s="87">
        <f>NseMeas!X43</f>
        <v>1489360785.6495242</v>
      </c>
      <c r="M43" s="88">
        <f t="shared" si="49"/>
        <v>43.163202203876551</v>
      </c>
      <c r="N43" s="87">
        <f>4*K43*NseMeas!K43*Jitter1H1s/SQRT($BZ$4)</f>
        <v>2.2800712058626154</v>
      </c>
      <c r="O43" s="4">
        <f t="shared" si="50"/>
        <v>0.2</v>
      </c>
      <c r="P43" s="4">
        <f t="shared" si="51"/>
        <v>0.1</v>
      </c>
      <c r="Q43" s="86">
        <f>MAX(0.1,P43/(1+(NseMeas!J43*J43/(NseMeas!L43*L43))))</f>
        <v>0.1</v>
      </c>
      <c r="R43" s="86">
        <f>MAX(0.1,P43/(1+((NseMeas!L43*L43)/(NseMeas!J43*J43))))</f>
        <v>0.1</v>
      </c>
      <c r="S43" s="87">
        <f>MAX(Calibration!Q43,T43/1000)</f>
        <v>6.4485344474614736E-2</v>
      </c>
      <c r="T43" s="87">
        <f>Calibration!P43</f>
        <v>1.0644853444746147</v>
      </c>
      <c r="U43" s="87">
        <f>ABS(Calibration!S43)</f>
        <v>1</v>
      </c>
      <c r="V43" s="88">
        <f>T_0*(10^((O43+DashBoard!$N$6)/10)-1)-N43</f>
        <v>48.440219726600944</v>
      </c>
      <c r="W43" s="87">
        <f>4*T43*NseMeas!T43*Jitter1H1s/SQRT($BZ$4)</f>
        <v>2175160.5068030865</v>
      </c>
      <c r="X43" s="4">
        <f t="shared" si="27"/>
        <v>2016370847.8877134</v>
      </c>
      <c r="Y43" s="4">
        <f>MIN(DashBoard!$N$5/2, X43/2)</f>
        <v>5.5</v>
      </c>
      <c r="Z43" s="86">
        <f>MAX(0.1,Y43/(1+(Calibration!H43*S43/(Calibration!J43*U43))))</f>
        <v>1.2463242817381608</v>
      </c>
      <c r="AA43" s="86">
        <f>MAX(0.1,Y43/(1+((Calibration!J43*U43)/(Calibration!H43*S43))))</f>
        <v>4.2536757182618388</v>
      </c>
      <c r="AC43" s="4">
        <f t="shared" si="52"/>
        <v>4.2536757182618388</v>
      </c>
      <c r="AD43" s="4">
        <f t="shared" si="53"/>
        <v>5.5</v>
      </c>
      <c r="AE43" s="4">
        <f t="shared" si="54"/>
        <v>1.2463242817381608</v>
      </c>
      <c r="AF43" s="4">
        <f t="shared" si="55"/>
        <v>0.1</v>
      </c>
      <c r="AG43" s="4">
        <f t="shared" si="56"/>
        <v>0.1</v>
      </c>
      <c r="AH43" s="4">
        <f t="shared" si="57"/>
        <v>0.1</v>
      </c>
      <c r="AI43" s="4">
        <f t="shared" si="25"/>
        <v>0.30000000000000004</v>
      </c>
      <c r="AJ43" s="4">
        <f t="shared" si="26"/>
        <v>19.489999999999988</v>
      </c>
      <c r="AK43" s="4">
        <f t="shared" si="28"/>
        <v>15</v>
      </c>
      <c r="AL43" s="4">
        <f t="shared" si="13"/>
        <v>0</v>
      </c>
      <c r="AM43" s="4">
        <f t="shared" si="29"/>
        <v>0</v>
      </c>
      <c r="AN43" s="4">
        <f t="shared" si="30"/>
        <v>0</v>
      </c>
      <c r="AO43" s="4">
        <f t="shared" si="31"/>
        <v>0</v>
      </c>
      <c r="AP43" s="4">
        <f t="shared" si="32"/>
        <v>0</v>
      </c>
      <c r="AQ43" s="4">
        <f t="shared" si="33"/>
        <v>0</v>
      </c>
      <c r="AR43" s="4">
        <f t="shared" si="34"/>
        <v>0</v>
      </c>
      <c r="AS43" s="4">
        <f t="shared" si="35"/>
        <v>0</v>
      </c>
      <c r="AT43" s="4">
        <f t="shared" si="36"/>
        <v>0</v>
      </c>
      <c r="AU43" s="4">
        <f t="shared" si="37"/>
        <v>0</v>
      </c>
      <c r="AV43" s="4">
        <f t="shared" si="38"/>
        <v>0</v>
      </c>
      <c r="AW43" s="4">
        <f t="shared" si="39"/>
        <v>0</v>
      </c>
      <c r="AX43" s="4">
        <f t="shared" si="40"/>
        <v>0</v>
      </c>
      <c r="AY43" s="4">
        <f t="shared" si="41"/>
        <v>0</v>
      </c>
      <c r="AZ43" s="4">
        <f t="shared" si="42"/>
        <v>15</v>
      </c>
      <c r="BA43" s="4">
        <f t="shared" si="43"/>
        <v>0</v>
      </c>
      <c r="BB43" s="4">
        <f t="shared" si="44"/>
        <v>0</v>
      </c>
      <c r="BC43" s="4">
        <f t="shared" si="45"/>
        <v>0</v>
      </c>
      <c r="BD43" s="4">
        <f t="shared" si="46"/>
        <v>0</v>
      </c>
      <c r="BE43" s="4">
        <f t="shared" si="47"/>
        <v>0</v>
      </c>
      <c r="BF43" s="4">
        <f t="shared" si="48"/>
        <v>0</v>
      </c>
    </row>
    <row r="44" spans="1:58">
      <c r="A44" s="4">
        <f>MIN(StopFreqGHz+0.000001,FieldFox!A43+FreqStep)</f>
        <v>20.692</v>
      </c>
      <c r="B44" s="4">
        <f t="shared" si="18"/>
        <v>-157</v>
      </c>
      <c r="C44" s="4">
        <f t="shared" si="19"/>
        <v>2</v>
      </c>
      <c r="D44" s="4">
        <f t="shared" si="20"/>
        <v>0.33333333333333331</v>
      </c>
      <c r="E44" s="86">
        <f>NseMeas!H44</f>
        <v>438.4470651377784</v>
      </c>
      <c r="F44" s="4">
        <f t="shared" si="21"/>
        <v>4.0000000000000009</v>
      </c>
      <c r="G44" s="4">
        <f t="shared" si="22"/>
        <v>20</v>
      </c>
      <c r="H44" s="88">
        <f>10*LOG10(P1dbBWghz*1000000000*NseMeas!J44/NseMeas!BW)</f>
        <v>-30.166023976809928</v>
      </c>
      <c r="I44" s="4" t="b">
        <f t="shared" si="23"/>
        <v>0</v>
      </c>
      <c r="J44" s="87">
        <f>MAX(NseMeas!T44,K44/1000)</f>
        <v>1168982888.3380921</v>
      </c>
      <c r="K44" s="87">
        <f>NseMeas!S44</f>
        <v>2612001441.1677403</v>
      </c>
      <c r="L44" s="87">
        <f>NseMeas!X44</f>
        <v>1443018552.8296485</v>
      </c>
      <c r="M44" s="88">
        <f t="shared" si="49"/>
        <v>43.163202203876551</v>
      </c>
      <c r="N44" s="87">
        <f>4*K44*NseMeas!K44*Jitter1H1s/SQRT($BZ$4)</f>
        <v>2.2799729838258158</v>
      </c>
      <c r="O44" s="4">
        <f t="shared" si="50"/>
        <v>0.2</v>
      </c>
      <c r="P44" s="4">
        <f t="shared" si="51"/>
        <v>0.1</v>
      </c>
      <c r="Q44" s="86">
        <f>MAX(0.1,P44/(1+(NseMeas!J44*J44/(NseMeas!L44*L44))))</f>
        <v>0.1</v>
      </c>
      <c r="R44" s="86">
        <f>MAX(0.1,P44/(1+((NseMeas!L44*L44)/(NseMeas!J44*J44))))</f>
        <v>0.1</v>
      </c>
      <c r="S44" s="87">
        <f>MAX(Calibration!Q44,T44/1000)</f>
        <v>6.4485344474614736E-2</v>
      </c>
      <c r="T44" s="87">
        <f>Calibration!P44</f>
        <v>1.0644853444746147</v>
      </c>
      <c r="U44" s="87">
        <f>ABS(Calibration!S44)</f>
        <v>1</v>
      </c>
      <c r="V44" s="88">
        <f>T_0*(10^((O44+DashBoard!$N$6)/10)-1)-N44</f>
        <v>48.440317948637748</v>
      </c>
      <c r="W44" s="87">
        <f>4*T44*NseMeas!T44*Jitter1H1s/SQRT($BZ$4)</f>
        <v>2107481.2080796855</v>
      </c>
      <c r="X44" s="4">
        <f t="shared" si="27"/>
        <v>1892838023.3667836</v>
      </c>
      <c r="Y44" s="4">
        <f>MIN(DashBoard!$N$5/2, X44/2)</f>
        <v>5.5</v>
      </c>
      <c r="Z44" s="86">
        <f>MAX(0.1,Y44/(1+(Calibration!H44*S44/(Calibration!J44*U44))))</f>
        <v>1.2166647221907028</v>
      </c>
      <c r="AA44" s="86">
        <f>MAX(0.1,Y44/(1+((Calibration!J44*U44)/(Calibration!H44*S44))))</f>
        <v>4.2833352778092966</v>
      </c>
      <c r="AC44" s="4">
        <f t="shared" si="52"/>
        <v>4.2833352778092966</v>
      </c>
      <c r="AD44" s="4">
        <f t="shared" si="53"/>
        <v>5.5</v>
      </c>
      <c r="AE44" s="4">
        <f t="shared" si="54"/>
        <v>1.2166647221907028</v>
      </c>
      <c r="AF44" s="4">
        <f t="shared" si="55"/>
        <v>0.1</v>
      </c>
      <c r="AG44" s="4">
        <f t="shared" si="56"/>
        <v>0.1</v>
      </c>
      <c r="AH44" s="4">
        <f t="shared" si="57"/>
        <v>0.1</v>
      </c>
      <c r="AI44" s="4">
        <f t="shared" si="25"/>
        <v>0.30000000000000004</v>
      </c>
      <c r="AJ44" s="4">
        <f t="shared" si="26"/>
        <v>19.489999999999988</v>
      </c>
      <c r="AK44" s="4">
        <f t="shared" si="28"/>
        <v>15</v>
      </c>
      <c r="AL44" s="4">
        <f t="shared" si="13"/>
        <v>0</v>
      </c>
      <c r="AM44" s="4">
        <f t="shared" si="29"/>
        <v>0</v>
      </c>
      <c r="AN44" s="4">
        <f t="shared" si="30"/>
        <v>0</v>
      </c>
      <c r="AO44" s="4">
        <f t="shared" si="31"/>
        <v>0</v>
      </c>
      <c r="AP44" s="4">
        <f t="shared" si="32"/>
        <v>0</v>
      </c>
      <c r="AQ44" s="4">
        <f t="shared" si="33"/>
        <v>0</v>
      </c>
      <c r="AR44" s="4">
        <f t="shared" si="34"/>
        <v>0</v>
      </c>
      <c r="AS44" s="4">
        <f t="shared" si="35"/>
        <v>0</v>
      </c>
      <c r="AT44" s="4">
        <f t="shared" si="36"/>
        <v>0</v>
      </c>
      <c r="AU44" s="4">
        <f t="shared" si="37"/>
        <v>0</v>
      </c>
      <c r="AV44" s="4">
        <f t="shared" si="38"/>
        <v>0</v>
      </c>
      <c r="AW44" s="4">
        <f t="shared" si="39"/>
        <v>0</v>
      </c>
      <c r="AX44" s="4">
        <f t="shared" si="40"/>
        <v>0</v>
      </c>
      <c r="AY44" s="4">
        <f t="shared" si="41"/>
        <v>0</v>
      </c>
      <c r="AZ44" s="4">
        <f t="shared" si="42"/>
        <v>15</v>
      </c>
      <c r="BA44" s="4">
        <f t="shared" si="43"/>
        <v>0</v>
      </c>
      <c r="BB44" s="4">
        <f t="shared" si="44"/>
        <v>0</v>
      </c>
      <c r="BC44" s="4">
        <f t="shared" si="45"/>
        <v>0</v>
      </c>
      <c r="BD44" s="4">
        <f t="shared" si="46"/>
        <v>0</v>
      </c>
      <c r="BE44" s="4">
        <f t="shared" si="47"/>
        <v>0</v>
      </c>
      <c r="BF44" s="4">
        <f t="shared" si="48"/>
        <v>0</v>
      </c>
    </row>
    <row r="45" spans="1:58">
      <c r="A45" s="4">
        <f>MIN(StopFreqGHz+0.000001,FieldFox!A44+FreqStep)</f>
        <v>21.22</v>
      </c>
      <c r="B45" s="4">
        <f t="shared" si="18"/>
        <v>-157</v>
      </c>
      <c r="C45" s="4">
        <f t="shared" si="19"/>
        <v>2</v>
      </c>
      <c r="D45" s="4">
        <f t="shared" si="20"/>
        <v>0.33333333333333331</v>
      </c>
      <c r="E45" s="86">
        <f>NseMeas!H45</f>
        <v>438.4470651377784</v>
      </c>
      <c r="F45" s="4">
        <f t="shared" si="21"/>
        <v>4.0000000000000009</v>
      </c>
      <c r="G45" s="4">
        <f t="shared" si="22"/>
        <v>20</v>
      </c>
      <c r="H45" s="88">
        <f>10*LOG10(P1dbBWghz*1000000000*NseMeas!J45/NseMeas!BW)</f>
        <v>-30.028826331027236</v>
      </c>
      <c r="I45" s="4" t="b">
        <f t="shared" si="23"/>
        <v>0</v>
      </c>
      <c r="J45" s="87">
        <f>MAX(NseMeas!T45,K45/1000)</f>
        <v>1132610394.1205406</v>
      </c>
      <c r="K45" s="87">
        <f>NseMeas!S45</f>
        <v>2530728676.7248845</v>
      </c>
      <c r="L45" s="87">
        <f>NseMeas!X45</f>
        <v>1398118282.6043439</v>
      </c>
      <c r="M45" s="88">
        <f t="shared" si="49"/>
        <v>43.163202203876551</v>
      </c>
      <c r="N45" s="87">
        <f>4*K45*NseMeas!K45*Jitter1H1s/SQRT($BZ$4)</f>
        <v>2.2798778179403523</v>
      </c>
      <c r="O45" s="4">
        <f t="shared" si="50"/>
        <v>0.2</v>
      </c>
      <c r="P45" s="4">
        <f t="shared" si="51"/>
        <v>0.1</v>
      </c>
      <c r="Q45" s="86">
        <f>MAX(0.1,P45/(1+(NseMeas!J45*J45/(NseMeas!L45*L45))))</f>
        <v>0.1</v>
      </c>
      <c r="R45" s="86">
        <f>MAX(0.1,P45/(1+((NseMeas!L45*L45)/(NseMeas!J45*J45))))</f>
        <v>0.1</v>
      </c>
      <c r="S45" s="87">
        <f>MAX(Calibration!Q45,T45/1000)</f>
        <v>6.4485344474614736E-2</v>
      </c>
      <c r="T45" s="87">
        <f>Calibration!P45</f>
        <v>1.0644853444746147</v>
      </c>
      <c r="U45" s="87">
        <f>ABS(Calibration!S45)</f>
        <v>1</v>
      </c>
      <c r="V45" s="88">
        <f>T_0*(10^((O45+DashBoard!$N$6)/10)-1)-N45</f>
        <v>48.44041311452321</v>
      </c>
      <c r="W45" s="87">
        <f>4*T45*NseMeas!T45*Jitter1H1s/SQRT($BZ$4)</f>
        <v>2041907.6664828074</v>
      </c>
      <c r="X45" s="4">
        <f t="shared" si="27"/>
        <v>1776873551.0581307</v>
      </c>
      <c r="Y45" s="4">
        <f>MIN(DashBoard!$N$5/2, X45/2)</f>
        <v>5.5</v>
      </c>
      <c r="Z45" s="86">
        <f>MAX(0.1,Y45/(1+(Calibration!H45*S45/(Calibration!J45*U45))))</f>
        <v>1.187497547524651</v>
      </c>
      <c r="AA45" s="86">
        <f>MAX(0.1,Y45/(1+((Calibration!J45*U45)/(Calibration!H45*S45))))</f>
        <v>4.312502452475349</v>
      </c>
      <c r="AC45" s="4">
        <f t="shared" si="52"/>
        <v>4.312502452475349</v>
      </c>
      <c r="AD45" s="4">
        <f t="shared" si="53"/>
        <v>5.5</v>
      </c>
      <c r="AE45" s="4">
        <f t="shared" si="54"/>
        <v>1.187497547524651</v>
      </c>
      <c r="AF45" s="4">
        <f t="shared" si="55"/>
        <v>0.1</v>
      </c>
      <c r="AG45" s="4">
        <f t="shared" si="56"/>
        <v>0.1</v>
      </c>
      <c r="AH45" s="4">
        <f t="shared" si="57"/>
        <v>0.1</v>
      </c>
      <c r="AI45" s="4">
        <f t="shared" si="25"/>
        <v>0.30000000000000004</v>
      </c>
      <c r="AJ45" s="4">
        <f t="shared" si="26"/>
        <v>19.489999999999988</v>
      </c>
      <c r="AK45" s="4">
        <f t="shared" si="28"/>
        <v>15</v>
      </c>
      <c r="AL45" s="4">
        <f t="shared" si="13"/>
        <v>0</v>
      </c>
      <c r="AM45" s="4">
        <f t="shared" si="29"/>
        <v>0</v>
      </c>
      <c r="AN45" s="4">
        <f t="shared" si="30"/>
        <v>0</v>
      </c>
      <c r="AO45" s="4">
        <f t="shared" si="31"/>
        <v>0</v>
      </c>
      <c r="AP45" s="4">
        <f t="shared" si="32"/>
        <v>0</v>
      </c>
      <c r="AQ45" s="4">
        <f t="shared" si="33"/>
        <v>0</v>
      </c>
      <c r="AR45" s="4">
        <f t="shared" si="34"/>
        <v>0</v>
      </c>
      <c r="AS45" s="4">
        <f t="shared" si="35"/>
        <v>0</v>
      </c>
      <c r="AT45" s="4">
        <f t="shared" si="36"/>
        <v>0</v>
      </c>
      <c r="AU45" s="4">
        <f t="shared" si="37"/>
        <v>0</v>
      </c>
      <c r="AV45" s="4">
        <f t="shared" si="38"/>
        <v>0</v>
      </c>
      <c r="AW45" s="4">
        <f t="shared" si="39"/>
        <v>0</v>
      </c>
      <c r="AX45" s="4">
        <f t="shared" si="40"/>
        <v>0</v>
      </c>
      <c r="AY45" s="4">
        <f t="shared" si="41"/>
        <v>0</v>
      </c>
      <c r="AZ45" s="4">
        <f t="shared" si="42"/>
        <v>15</v>
      </c>
      <c r="BA45" s="4">
        <f t="shared" si="43"/>
        <v>0</v>
      </c>
      <c r="BB45" s="4">
        <f t="shared" si="44"/>
        <v>0</v>
      </c>
      <c r="BC45" s="4">
        <f t="shared" si="45"/>
        <v>0</v>
      </c>
      <c r="BD45" s="4">
        <f t="shared" si="46"/>
        <v>0</v>
      </c>
      <c r="BE45" s="4">
        <f t="shared" si="47"/>
        <v>0</v>
      </c>
      <c r="BF45" s="4">
        <f t="shared" si="48"/>
        <v>0</v>
      </c>
    </row>
    <row r="46" spans="1:58">
      <c r="A46" s="4">
        <f>MIN(StopFreqGHz+0.000001,FieldFox!A45+FreqStep)</f>
        <v>21.747999999999998</v>
      </c>
      <c r="B46" s="4">
        <f t="shared" si="18"/>
        <v>-157</v>
      </c>
      <c r="C46" s="4">
        <f t="shared" si="19"/>
        <v>2</v>
      </c>
      <c r="D46" s="4">
        <f t="shared" si="20"/>
        <v>0.33333333333333331</v>
      </c>
      <c r="E46" s="86">
        <f>NseMeas!H46</f>
        <v>438.4470651377784</v>
      </c>
      <c r="F46" s="4">
        <f t="shared" si="21"/>
        <v>4.0000000000000009</v>
      </c>
      <c r="G46" s="4">
        <f t="shared" si="22"/>
        <v>20</v>
      </c>
      <c r="H46" s="88">
        <f>10*LOG10(P1dbBWghz*1000000000*NseMeas!J46/NseMeas!BW)</f>
        <v>-29.891626124239941</v>
      </c>
      <c r="I46" s="4" t="b">
        <f t="shared" si="23"/>
        <v>0</v>
      </c>
      <c r="J46" s="87">
        <f>MAX(NseMeas!T46,K46/1000)</f>
        <v>1097369586.7764604</v>
      </c>
      <c r="K46" s="87">
        <f>NseMeas!S46</f>
        <v>2451984694.3365359</v>
      </c>
      <c r="L46" s="87">
        <f>NseMeas!X46</f>
        <v>1354615107.5600755</v>
      </c>
      <c r="M46" s="88">
        <f t="shared" si="49"/>
        <v>43.163202203876551</v>
      </c>
      <c r="N46" s="87">
        <f>4*K46*NseMeas!K46*Jitter1H1s/SQRT($BZ$4)</f>
        <v>2.2797856131172858</v>
      </c>
      <c r="O46" s="4">
        <f t="shared" si="50"/>
        <v>0.2</v>
      </c>
      <c r="P46" s="4">
        <f t="shared" si="51"/>
        <v>0.1</v>
      </c>
      <c r="Q46" s="86">
        <f>MAX(0.1,P46/(1+(NseMeas!J46*J46/(NseMeas!L46*L46))))</f>
        <v>0.1</v>
      </c>
      <c r="R46" s="86">
        <f>MAX(0.1,P46/(1+((NseMeas!L46*L46)/(NseMeas!J46*J46))))</f>
        <v>0.1</v>
      </c>
      <c r="S46" s="87">
        <f>MAX(Calibration!Q46,T46/1000)</f>
        <v>6.4485344474614736E-2</v>
      </c>
      <c r="T46" s="87">
        <f>Calibration!P46</f>
        <v>1.0644853444746147</v>
      </c>
      <c r="U46" s="87">
        <f>ABS(Calibration!S46)</f>
        <v>1</v>
      </c>
      <c r="V46" s="88">
        <f>T_0*(10^((O46+DashBoard!$N$6)/10)-1)-N46</f>
        <v>48.440505319346279</v>
      </c>
      <c r="W46" s="87">
        <f>4*T46*NseMeas!T46*Jitter1H1s/SQRT($BZ$4)</f>
        <v>1978374.3675986871</v>
      </c>
      <c r="X46" s="4">
        <f t="shared" si="27"/>
        <v>1668013737.8568094</v>
      </c>
      <c r="Y46" s="4">
        <f>MIN(DashBoard!$N$5/2, X46/2)</f>
        <v>5.5</v>
      </c>
      <c r="Z46" s="86">
        <f>MAX(0.1,Y46/(1+(Calibration!H46*S46/(Calibration!J46*U46))))</f>
        <v>1.1588248053390293</v>
      </c>
      <c r="AA46" s="86">
        <f>MAX(0.1,Y46/(1+((Calibration!J46*U46)/(Calibration!H46*S46))))</f>
        <v>4.3411751946609707</v>
      </c>
      <c r="AC46" s="4">
        <f t="shared" si="52"/>
        <v>4.3411751946609707</v>
      </c>
      <c r="AD46" s="4">
        <f t="shared" si="53"/>
        <v>5.5</v>
      </c>
      <c r="AE46" s="4">
        <f t="shared" si="54"/>
        <v>1.1588248053390293</v>
      </c>
      <c r="AF46" s="4">
        <f t="shared" si="55"/>
        <v>0.1</v>
      </c>
      <c r="AG46" s="4">
        <f t="shared" si="56"/>
        <v>0.1</v>
      </c>
      <c r="AH46" s="4">
        <f t="shared" si="57"/>
        <v>0.1</v>
      </c>
      <c r="AI46" s="4">
        <f t="shared" si="25"/>
        <v>0.30000000000000004</v>
      </c>
      <c r="AJ46" s="4">
        <f t="shared" si="26"/>
        <v>19.489999999999988</v>
      </c>
      <c r="AK46" s="4">
        <f t="shared" si="28"/>
        <v>15</v>
      </c>
      <c r="AL46" s="4">
        <f t="shared" si="13"/>
        <v>0</v>
      </c>
      <c r="AM46" s="4">
        <f t="shared" si="29"/>
        <v>0</v>
      </c>
      <c r="AN46" s="4">
        <f t="shared" si="30"/>
        <v>0</v>
      </c>
      <c r="AO46" s="4">
        <f t="shared" si="31"/>
        <v>0</v>
      </c>
      <c r="AP46" s="4">
        <f t="shared" si="32"/>
        <v>0</v>
      </c>
      <c r="AQ46" s="4">
        <f t="shared" si="33"/>
        <v>0</v>
      </c>
      <c r="AR46" s="4">
        <f t="shared" si="34"/>
        <v>0</v>
      </c>
      <c r="AS46" s="4">
        <f t="shared" si="35"/>
        <v>0</v>
      </c>
      <c r="AT46" s="4">
        <f t="shared" si="36"/>
        <v>0</v>
      </c>
      <c r="AU46" s="4">
        <f t="shared" si="37"/>
        <v>0</v>
      </c>
      <c r="AV46" s="4">
        <f t="shared" si="38"/>
        <v>0</v>
      </c>
      <c r="AW46" s="4">
        <f t="shared" si="39"/>
        <v>0</v>
      </c>
      <c r="AX46" s="4">
        <f t="shared" si="40"/>
        <v>0</v>
      </c>
      <c r="AY46" s="4">
        <f t="shared" si="41"/>
        <v>0</v>
      </c>
      <c r="AZ46" s="4">
        <f t="shared" si="42"/>
        <v>15</v>
      </c>
      <c r="BA46" s="4">
        <f t="shared" si="43"/>
        <v>0</v>
      </c>
      <c r="BB46" s="4">
        <f t="shared" si="44"/>
        <v>0</v>
      </c>
      <c r="BC46" s="4">
        <f t="shared" si="45"/>
        <v>0</v>
      </c>
      <c r="BD46" s="4">
        <f t="shared" si="46"/>
        <v>0</v>
      </c>
      <c r="BE46" s="4">
        <f t="shared" si="47"/>
        <v>0</v>
      </c>
      <c r="BF46" s="4">
        <f t="shared" si="48"/>
        <v>0</v>
      </c>
    </row>
    <row r="47" spans="1:58">
      <c r="A47" s="4">
        <f>MIN(StopFreqGHz+0.000001,FieldFox!A46+FreqStep)</f>
        <v>22.275999999999996</v>
      </c>
      <c r="B47" s="4">
        <f t="shared" si="18"/>
        <v>-155</v>
      </c>
      <c r="C47" s="4">
        <f t="shared" si="19"/>
        <v>2</v>
      </c>
      <c r="D47" s="4">
        <f t="shared" si="20"/>
        <v>0.33333333333333331</v>
      </c>
      <c r="E47" s="86">
        <f>NseMeas!H47</f>
        <v>438.4470651377784</v>
      </c>
      <c r="F47" s="4">
        <f t="shared" si="21"/>
        <v>4.0000000000000009</v>
      </c>
      <c r="G47" s="4">
        <f t="shared" si="22"/>
        <v>20</v>
      </c>
      <c r="H47" s="88">
        <f>10*LOG10(P1dbBWghz*1000000000*NseMeas!J47/NseMeas!BW)</f>
        <v>-29.752986780538173</v>
      </c>
      <c r="I47" s="4" t="b">
        <f t="shared" si="23"/>
        <v>0</v>
      </c>
      <c r="J47" s="87">
        <f>MAX(NseMeas!T47,K47/1000)</f>
        <v>1063225257.0888866</v>
      </c>
      <c r="K47" s="87">
        <f>NseMeas!S47</f>
        <v>2375690813.4450231</v>
      </c>
      <c r="L47" s="87">
        <f>NseMeas!X47</f>
        <v>1312465556.3561363</v>
      </c>
      <c r="M47" s="88">
        <f t="shared" si="49"/>
        <v>43.163202203876551</v>
      </c>
      <c r="N47" s="87">
        <f>4*K47*NseMeas!K47*Jitter1H1s/SQRT($BZ$4)</f>
        <v>2.2813725726960175</v>
      </c>
      <c r="O47" s="4">
        <f t="shared" si="50"/>
        <v>0.2</v>
      </c>
      <c r="P47" s="4">
        <f t="shared" si="51"/>
        <v>0.1</v>
      </c>
      <c r="Q47" s="86">
        <f>MAX(0.1,P47/(1+(NseMeas!J47*J47/(NseMeas!L47*L47))))</f>
        <v>0.1</v>
      </c>
      <c r="R47" s="86">
        <f>MAX(0.1,P47/(1+((NseMeas!L47*L47)/(NseMeas!J47*J47))))</f>
        <v>0.1</v>
      </c>
      <c r="S47" s="87">
        <f>MAX(Calibration!Q47,T47/1000)</f>
        <v>6.4485344474614736E-2</v>
      </c>
      <c r="T47" s="87">
        <f>Calibration!P47</f>
        <v>1.0644853444746147</v>
      </c>
      <c r="U47" s="87">
        <f>ABS(Calibration!S47)</f>
        <v>1</v>
      </c>
      <c r="V47" s="88">
        <f>T_0*(10^((O47+DashBoard!$N$6)/10)-1)-N47</f>
        <v>48.438918359767548</v>
      </c>
      <c r="W47" s="87">
        <f>4*T47*NseMeas!T47*Jitter1H1s/SQRT($BZ$4)</f>
        <v>1916817.8350806278</v>
      </c>
      <c r="X47" s="4">
        <f t="shared" si="27"/>
        <v>1565931677.7361374</v>
      </c>
      <c r="Y47" s="4">
        <f>MIN(DashBoard!$N$5/2, X47/2)</f>
        <v>5.5</v>
      </c>
      <c r="Z47" s="86">
        <f>MAX(0.1,Y47/(1+(Calibration!H47*S47/(Calibration!J47*U47))))</f>
        <v>1.588457275985095</v>
      </c>
      <c r="AA47" s="86">
        <f>MAX(0.1,Y47/(1+((Calibration!J47*U47)/(Calibration!H47*S47))))</f>
        <v>3.9115427240149052</v>
      </c>
      <c r="AC47" s="4">
        <f t="shared" si="52"/>
        <v>3.9115427240149052</v>
      </c>
      <c r="AD47" s="4">
        <f t="shared" si="53"/>
        <v>5.5</v>
      </c>
      <c r="AE47" s="4">
        <f t="shared" si="54"/>
        <v>1.588457275985095</v>
      </c>
      <c r="AF47" s="4">
        <f t="shared" si="55"/>
        <v>0.1</v>
      </c>
      <c r="AG47" s="4">
        <f t="shared" si="56"/>
        <v>0.1</v>
      </c>
      <c r="AH47" s="4">
        <f t="shared" si="57"/>
        <v>0.1</v>
      </c>
      <c r="AI47" s="4">
        <f t="shared" si="25"/>
        <v>0.30000000000000004</v>
      </c>
      <c r="AJ47" s="4">
        <f t="shared" si="26"/>
        <v>21.489999999999988</v>
      </c>
      <c r="AK47" s="4">
        <f t="shared" si="28"/>
        <v>16</v>
      </c>
      <c r="AL47" s="4">
        <f t="shared" si="13"/>
        <v>0</v>
      </c>
      <c r="AM47" s="4">
        <f t="shared" si="29"/>
        <v>0</v>
      </c>
      <c r="AN47" s="4">
        <f t="shared" si="30"/>
        <v>0</v>
      </c>
      <c r="AO47" s="4">
        <f t="shared" si="31"/>
        <v>0</v>
      </c>
      <c r="AP47" s="4">
        <f t="shared" si="32"/>
        <v>0</v>
      </c>
      <c r="AQ47" s="4">
        <f t="shared" si="33"/>
        <v>0</v>
      </c>
      <c r="AR47" s="4">
        <f t="shared" si="34"/>
        <v>0</v>
      </c>
      <c r="AS47" s="4">
        <f t="shared" si="35"/>
        <v>0</v>
      </c>
      <c r="AT47" s="4">
        <f t="shared" si="36"/>
        <v>0</v>
      </c>
      <c r="AU47" s="4">
        <f t="shared" si="37"/>
        <v>0</v>
      </c>
      <c r="AV47" s="4">
        <f t="shared" si="38"/>
        <v>0</v>
      </c>
      <c r="AW47" s="4">
        <f t="shared" si="39"/>
        <v>0</v>
      </c>
      <c r="AX47" s="4">
        <f t="shared" si="40"/>
        <v>0</v>
      </c>
      <c r="AY47" s="4">
        <f t="shared" si="41"/>
        <v>0</v>
      </c>
      <c r="AZ47" s="4">
        <f t="shared" si="42"/>
        <v>0</v>
      </c>
      <c r="BA47" s="4">
        <f t="shared" si="43"/>
        <v>16</v>
      </c>
      <c r="BB47" s="4">
        <f t="shared" si="44"/>
        <v>0</v>
      </c>
      <c r="BC47" s="4">
        <f t="shared" si="45"/>
        <v>0</v>
      </c>
      <c r="BD47" s="4">
        <f t="shared" si="46"/>
        <v>0</v>
      </c>
      <c r="BE47" s="4">
        <f t="shared" si="47"/>
        <v>0</v>
      </c>
      <c r="BF47" s="4">
        <f t="shared" si="48"/>
        <v>0</v>
      </c>
    </row>
    <row r="48" spans="1:58">
      <c r="A48" s="4">
        <f>MIN(StopFreqGHz+0.000001,FieldFox!A47+FreqStep)</f>
        <v>22.803999999999995</v>
      </c>
      <c r="B48" s="4">
        <f t="shared" si="18"/>
        <v>-155</v>
      </c>
      <c r="C48" s="4">
        <f t="shared" si="19"/>
        <v>2</v>
      </c>
      <c r="D48" s="4">
        <f t="shared" si="20"/>
        <v>0.33333333333333331</v>
      </c>
      <c r="E48" s="86">
        <f>NseMeas!H48</f>
        <v>438.4470651377784</v>
      </c>
      <c r="F48" s="4">
        <f t="shared" si="21"/>
        <v>4.0000000000000009</v>
      </c>
      <c r="G48" s="4">
        <f t="shared" si="22"/>
        <v>20</v>
      </c>
      <c r="H48" s="88">
        <f>10*LOG10(P1dbBWghz*1000000000*NseMeas!J48/NseMeas!BW)</f>
        <v>-29.61582635917064</v>
      </c>
      <c r="I48" s="4" t="b">
        <f t="shared" si="23"/>
        <v>0</v>
      </c>
      <c r="J48" s="87">
        <f>MAX(NseMeas!T48,K48/1000)</f>
        <v>1030143291.1606818</v>
      </c>
      <c r="K48" s="87">
        <f>NseMeas!S48</f>
        <v>2301770801.4457979</v>
      </c>
      <c r="L48" s="87">
        <f>NseMeas!X48</f>
        <v>1271627510.2851164</v>
      </c>
      <c r="M48" s="88">
        <f t="shared" si="49"/>
        <v>43.163202203876551</v>
      </c>
      <c r="N48" s="87">
        <f>4*K48*NseMeas!K48*Jitter1H1s/SQRT($BZ$4)</f>
        <v>2.2812338582623006</v>
      </c>
      <c r="O48" s="4">
        <f t="shared" si="50"/>
        <v>0.2</v>
      </c>
      <c r="P48" s="4">
        <f t="shared" si="51"/>
        <v>0.1</v>
      </c>
      <c r="Q48" s="86">
        <f>MAX(0.1,P48/(1+(NseMeas!J48*J48/(NseMeas!L48*L48))))</f>
        <v>0.1</v>
      </c>
      <c r="R48" s="86">
        <f>MAX(0.1,P48/(1+((NseMeas!L48*L48)/(NseMeas!J48*J48))))</f>
        <v>0.1</v>
      </c>
      <c r="S48" s="87">
        <f>MAX(Calibration!Q48,T48/1000)</f>
        <v>6.4485344474614736E-2</v>
      </c>
      <c r="T48" s="87">
        <f>Calibration!P48</f>
        <v>1.0644853444746147</v>
      </c>
      <c r="U48" s="87">
        <f>ABS(Calibration!S48)</f>
        <v>1</v>
      </c>
      <c r="V48" s="88">
        <f>T_0*(10^((O48+DashBoard!$N$6)/10)-1)-N48</f>
        <v>48.439057074201259</v>
      </c>
      <c r="W48" s="87">
        <f>4*T48*NseMeas!T48*Jitter1H1s/SQRT($BZ$4)</f>
        <v>1857176.5672609229</v>
      </c>
      <c r="X48" s="4">
        <f t="shared" si="27"/>
        <v>1469992198.126087</v>
      </c>
      <c r="Y48" s="4">
        <f>MIN(DashBoard!$N$5/2, X48/2)</f>
        <v>5.5</v>
      </c>
      <c r="Z48" s="86">
        <f>MAX(0.1,Y48/(1+(Calibration!H48*S48/(Calibration!J48*U48))))</f>
        <v>1.5538844016306725</v>
      </c>
      <c r="AA48" s="86">
        <f>MAX(0.1,Y48/(1+((Calibration!J48*U48)/(Calibration!H48*S48))))</f>
        <v>3.9461155983693277</v>
      </c>
      <c r="AC48" s="4">
        <f t="shared" si="52"/>
        <v>3.9461155983693277</v>
      </c>
      <c r="AD48" s="4">
        <f t="shared" si="53"/>
        <v>5.5</v>
      </c>
      <c r="AE48" s="4">
        <f t="shared" si="54"/>
        <v>1.5538844016306725</v>
      </c>
      <c r="AF48" s="4">
        <f t="shared" si="55"/>
        <v>0.1</v>
      </c>
      <c r="AG48" s="4">
        <f t="shared" si="56"/>
        <v>0.1</v>
      </c>
      <c r="AH48" s="4">
        <f t="shared" si="57"/>
        <v>0.1</v>
      </c>
      <c r="AI48" s="4">
        <f t="shared" si="25"/>
        <v>0.30000000000000004</v>
      </c>
      <c r="AJ48" s="4">
        <f t="shared" si="26"/>
        <v>21.489999999999988</v>
      </c>
      <c r="AK48" s="4">
        <f t="shared" si="28"/>
        <v>16</v>
      </c>
      <c r="AL48" s="4">
        <f t="shared" si="13"/>
        <v>0</v>
      </c>
      <c r="AM48" s="4">
        <f t="shared" si="29"/>
        <v>0</v>
      </c>
      <c r="AN48" s="4">
        <f t="shared" si="30"/>
        <v>0</v>
      </c>
      <c r="AO48" s="4">
        <f t="shared" si="31"/>
        <v>0</v>
      </c>
      <c r="AP48" s="4">
        <f t="shared" si="32"/>
        <v>0</v>
      </c>
      <c r="AQ48" s="4">
        <f t="shared" si="33"/>
        <v>0</v>
      </c>
      <c r="AR48" s="4">
        <f t="shared" si="34"/>
        <v>0</v>
      </c>
      <c r="AS48" s="4">
        <f t="shared" si="35"/>
        <v>0</v>
      </c>
      <c r="AT48" s="4">
        <f t="shared" si="36"/>
        <v>0</v>
      </c>
      <c r="AU48" s="4">
        <f t="shared" si="37"/>
        <v>0</v>
      </c>
      <c r="AV48" s="4">
        <f t="shared" si="38"/>
        <v>0</v>
      </c>
      <c r="AW48" s="4">
        <f t="shared" si="39"/>
        <v>0</v>
      </c>
      <c r="AX48" s="4">
        <f t="shared" si="40"/>
        <v>0</v>
      </c>
      <c r="AY48" s="4">
        <f t="shared" si="41"/>
        <v>0</v>
      </c>
      <c r="AZ48" s="4">
        <f t="shared" si="42"/>
        <v>0</v>
      </c>
      <c r="BA48" s="4">
        <f t="shared" si="43"/>
        <v>16</v>
      </c>
      <c r="BB48" s="4">
        <f t="shared" si="44"/>
        <v>0</v>
      </c>
      <c r="BC48" s="4">
        <f t="shared" si="45"/>
        <v>0</v>
      </c>
      <c r="BD48" s="4">
        <f t="shared" si="46"/>
        <v>0</v>
      </c>
      <c r="BE48" s="4">
        <f t="shared" si="47"/>
        <v>0</v>
      </c>
      <c r="BF48" s="4">
        <f t="shared" si="48"/>
        <v>0</v>
      </c>
    </row>
    <row r="49" spans="1:58">
      <c r="A49" s="4">
        <f>MIN(StopFreqGHz+0.000001,FieldFox!A48+FreqStep)</f>
        <v>23.331999999999994</v>
      </c>
      <c r="B49" s="4">
        <f t="shared" si="18"/>
        <v>-155</v>
      </c>
      <c r="C49" s="4">
        <f t="shared" si="19"/>
        <v>2</v>
      </c>
      <c r="D49" s="4">
        <f t="shared" si="20"/>
        <v>0.33333333333333331</v>
      </c>
      <c r="E49" s="86">
        <f>NseMeas!H49</f>
        <v>438.4470651377784</v>
      </c>
      <c r="F49" s="4">
        <f t="shared" si="21"/>
        <v>4.0000000000000009</v>
      </c>
      <c r="G49" s="4">
        <f t="shared" si="22"/>
        <v>20</v>
      </c>
      <c r="H49" s="88">
        <f>10*LOG10(P1dbBWghz*1000000000*NseMeas!J49/NseMeas!BW)</f>
        <v>-29.478662220192465</v>
      </c>
      <c r="I49" s="4" t="b">
        <f t="shared" si="23"/>
        <v>0</v>
      </c>
      <c r="J49" s="87">
        <f>MAX(NseMeas!T49,K49/1000)</f>
        <v>998090636.34737635</v>
      </c>
      <c r="K49" s="87">
        <f>NseMeas!S49</f>
        <v>2230150797.532393</v>
      </c>
      <c r="L49" s="87">
        <f>NseMeas!X49</f>
        <v>1232060161.1850169</v>
      </c>
      <c r="M49" s="88">
        <f t="shared" si="49"/>
        <v>43.163202203876551</v>
      </c>
      <c r="N49" s="87">
        <f>4*K49*NseMeas!K49*Jitter1H1s/SQRT($BZ$4)</f>
        <v>2.2810994599030514</v>
      </c>
      <c r="O49" s="4">
        <f t="shared" si="50"/>
        <v>0.2</v>
      </c>
      <c r="P49" s="4">
        <f t="shared" si="51"/>
        <v>0.1</v>
      </c>
      <c r="Q49" s="86">
        <f>MAX(0.1,P49/(1+(NseMeas!J49*J49/(NseMeas!L49*L49))))</f>
        <v>0.1</v>
      </c>
      <c r="R49" s="86">
        <f>MAX(0.1,P49/(1+((NseMeas!L49*L49)/(NseMeas!J49*J49))))</f>
        <v>0.1</v>
      </c>
      <c r="S49" s="87">
        <f>MAX(Calibration!Q49,T49/1000)</f>
        <v>6.4485344474614736E-2</v>
      </c>
      <c r="T49" s="87">
        <f>Calibration!P49</f>
        <v>1.0644853444746147</v>
      </c>
      <c r="U49" s="87">
        <f>ABS(Calibration!S49)</f>
        <v>1</v>
      </c>
      <c r="V49" s="88">
        <f>T_0*(10^((O49+DashBoard!$N$6)/10)-1)-N49</f>
        <v>48.439191472560509</v>
      </c>
      <c r="W49" s="87">
        <f>4*T49*NseMeas!T49*Jitter1H1s/SQRT($BZ$4)</f>
        <v>1799390.9757334539</v>
      </c>
      <c r="X49" s="4">
        <f t="shared" si="27"/>
        <v>1379930790.6341925</v>
      </c>
      <c r="Y49" s="4">
        <f>MIN(DashBoard!$N$5/2, X49/2)</f>
        <v>5.5</v>
      </c>
      <c r="Z49" s="86">
        <f>MAX(0.1,Y49/(1+(Calibration!H49*S49/(Calibration!J49*U49))))</f>
        <v>1.5197447871972904</v>
      </c>
      <c r="AA49" s="86">
        <f>MAX(0.1,Y49/(1+((Calibration!J49*U49)/(Calibration!H49*S49))))</f>
        <v>3.9802552128027093</v>
      </c>
      <c r="AC49" s="4">
        <f t="shared" si="52"/>
        <v>3.9802552128027093</v>
      </c>
      <c r="AD49" s="4">
        <f t="shared" si="53"/>
        <v>5.5</v>
      </c>
      <c r="AE49" s="4">
        <f t="shared" si="54"/>
        <v>1.5197447871972904</v>
      </c>
      <c r="AF49" s="4">
        <f t="shared" si="55"/>
        <v>0.1</v>
      </c>
      <c r="AG49" s="4">
        <f t="shared" si="56"/>
        <v>0.1</v>
      </c>
      <c r="AH49" s="4">
        <f t="shared" si="57"/>
        <v>0.1</v>
      </c>
      <c r="AI49" s="4">
        <f t="shared" si="25"/>
        <v>0.30000000000000004</v>
      </c>
      <c r="AJ49" s="4">
        <f t="shared" si="26"/>
        <v>21.489999999999988</v>
      </c>
      <c r="AK49" s="4">
        <f t="shared" si="28"/>
        <v>16</v>
      </c>
      <c r="AL49" s="4">
        <f t="shared" si="13"/>
        <v>0</v>
      </c>
      <c r="AM49" s="4">
        <f t="shared" si="29"/>
        <v>0</v>
      </c>
      <c r="AN49" s="4">
        <f t="shared" si="30"/>
        <v>0</v>
      </c>
      <c r="AO49" s="4">
        <f t="shared" si="31"/>
        <v>0</v>
      </c>
      <c r="AP49" s="4">
        <f t="shared" si="32"/>
        <v>0</v>
      </c>
      <c r="AQ49" s="4">
        <f t="shared" si="33"/>
        <v>0</v>
      </c>
      <c r="AR49" s="4">
        <f t="shared" si="34"/>
        <v>0</v>
      </c>
      <c r="AS49" s="4">
        <f t="shared" si="35"/>
        <v>0</v>
      </c>
      <c r="AT49" s="4">
        <f t="shared" si="36"/>
        <v>0</v>
      </c>
      <c r="AU49" s="4">
        <f t="shared" si="37"/>
        <v>0</v>
      </c>
      <c r="AV49" s="4">
        <f t="shared" si="38"/>
        <v>0</v>
      </c>
      <c r="AW49" s="4">
        <f t="shared" si="39"/>
        <v>0</v>
      </c>
      <c r="AX49" s="4">
        <f t="shared" si="40"/>
        <v>0</v>
      </c>
      <c r="AY49" s="4">
        <f t="shared" si="41"/>
        <v>0</v>
      </c>
      <c r="AZ49" s="4">
        <f t="shared" si="42"/>
        <v>0</v>
      </c>
      <c r="BA49" s="4">
        <f t="shared" si="43"/>
        <v>16</v>
      </c>
      <c r="BB49" s="4">
        <f t="shared" si="44"/>
        <v>0</v>
      </c>
      <c r="BC49" s="4">
        <f t="shared" si="45"/>
        <v>0</v>
      </c>
      <c r="BD49" s="4">
        <f t="shared" si="46"/>
        <v>0</v>
      </c>
      <c r="BE49" s="4">
        <f t="shared" si="47"/>
        <v>0</v>
      </c>
      <c r="BF49" s="4">
        <f t="shared" si="48"/>
        <v>0</v>
      </c>
    </row>
    <row r="50" spans="1:58">
      <c r="A50" s="4">
        <f>MIN(StopFreqGHz+0.000001,FieldFox!A49+FreqStep)</f>
        <v>23.859999999999992</v>
      </c>
      <c r="B50" s="4">
        <f t="shared" si="18"/>
        <v>-155</v>
      </c>
      <c r="C50" s="4">
        <f t="shared" si="19"/>
        <v>2</v>
      </c>
      <c r="D50" s="4">
        <f t="shared" si="20"/>
        <v>0.33333333333333331</v>
      </c>
      <c r="E50" s="86">
        <f>NseMeas!H50</f>
        <v>438.4470651377784</v>
      </c>
      <c r="F50" s="4">
        <f t="shared" si="21"/>
        <v>4.0000000000000009</v>
      </c>
      <c r="G50" s="4">
        <f t="shared" si="22"/>
        <v>20</v>
      </c>
      <c r="H50" s="88">
        <f>10*LOG10(P1dbBWghz*1000000000*NseMeas!J50/NseMeas!BW)</f>
        <v>-29.341494479086776</v>
      </c>
      <c r="I50" s="4" t="b">
        <f t="shared" si="23"/>
        <v>0</v>
      </c>
      <c r="J50" s="87">
        <f>MAX(NseMeas!T50,K50/1000)</f>
        <v>967035268.24915636</v>
      </c>
      <c r="K50" s="87">
        <f>NseMeas!S50</f>
        <v>2160759238.9101057</v>
      </c>
      <c r="L50" s="87">
        <f>NseMeas!X50</f>
        <v>1193723970.6609495</v>
      </c>
      <c r="M50" s="88">
        <f t="shared" si="49"/>
        <v>43.163202203876551</v>
      </c>
      <c r="N50" s="87">
        <f>4*K50*NseMeas!K50*Jitter1H1s/SQRT($BZ$4)</f>
        <v>2.2809692433273234</v>
      </c>
      <c r="O50" s="4">
        <f t="shared" si="50"/>
        <v>0.2</v>
      </c>
      <c r="P50" s="4">
        <f t="shared" si="51"/>
        <v>0.1</v>
      </c>
      <c r="Q50" s="86">
        <f>MAX(0.1,P50/(1+(NseMeas!J50*J50/(NseMeas!L50*L50))))</f>
        <v>0.1</v>
      </c>
      <c r="R50" s="86">
        <f>MAX(0.1,P50/(1+((NseMeas!L50*L50)/(NseMeas!J50*J50))))</f>
        <v>0.1</v>
      </c>
      <c r="S50" s="87">
        <f>MAX(Calibration!Q50,T50/1000)</f>
        <v>6.4485344474614736E-2</v>
      </c>
      <c r="T50" s="87">
        <f>Calibration!P50</f>
        <v>1.0644853444746147</v>
      </c>
      <c r="U50" s="87">
        <f>ABS(Calibration!S50)</f>
        <v>1</v>
      </c>
      <c r="V50" s="88">
        <f>T_0*(10^((O50+DashBoard!$N$6)/10)-1)-N50</f>
        <v>48.439321689136236</v>
      </c>
      <c r="W50" s="87">
        <f>4*T50*NseMeas!T50*Jitter1H1s/SQRT($BZ$4)</f>
        <v>1743403.3258457447</v>
      </c>
      <c r="X50" s="4">
        <f t="shared" si="27"/>
        <v>1295387298.4238093</v>
      </c>
      <c r="Y50" s="4">
        <f>MIN(DashBoard!$N$5/2, X50/2)</f>
        <v>5.5</v>
      </c>
      <c r="Z50" s="86">
        <f>MAX(0.1,Y50/(1+(Calibration!H50*S50/(Calibration!J50*U50))))</f>
        <v>1.4860470708060833</v>
      </c>
      <c r="AA50" s="86">
        <f>MAX(0.1,Y50/(1+((Calibration!J50*U50)/(Calibration!H50*S50))))</f>
        <v>4.0139529291939171</v>
      </c>
      <c r="AC50" s="4">
        <f t="shared" si="52"/>
        <v>4.0139529291939171</v>
      </c>
      <c r="AD50" s="4">
        <f t="shared" si="53"/>
        <v>5.5</v>
      </c>
      <c r="AE50" s="4">
        <f t="shared" si="54"/>
        <v>1.4860470708060833</v>
      </c>
      <c r="AF50" s="4">
        <f t="shared" si="55"/>
        <v>0.1</v>
      </c>
      <c r="AG50" s="4">
        <f t="shared" si="56"/>
        <v>0.1</v>
      </c>
      <c r="AH50" s="4">
        <f t="shared" si="57"/>
        <v>0.1</v>
      </c>
      <c r="AI50" s="4">
        <f t="shared" si="25"/>
        <v>0.30000000000000004</v>
      </c>
      <c r="AJ50" s="4">
        <f t="shared" si="26"/>
        <v>21.489999999999988</v>
      </c>
      <c r="AK50" s="4">
        <f t="shared" si="28"/>
        <v>16</v>
      </c>
      <c r="AL50" s="4">
        <f t="shared" si="13"/>
        <v>0</v>
      </c>
      <c r="AM50" s="4">
        <f t="shared" si="29"/>
        <v>0</v>
      </c>
      <c r="AN50" s="4">
        <f t="shared" si="30"/>
        <v>0</v>
      </c>
      <c r="AO50" s="4">
        <f t="shared" si="31"/>
        <v>0</v>
      </c>
      <c r="AP50" s="4">
        <f t="shared" si="32"/>
        <v>0</v>
      </c>
      <c r="AQ50" s="4">
        <f t="shared" si="33"/>
        <v>0</v>
      </c>
      <c r="AR50" s="4">
        <f t="shared" si="34"/>
        <v>0</v>
      </c>
      <c r="AS50" s="4">
        <f t="shared" si="35"/>
        <v>0</v>
      </c>
      <c r="AT50" s="4">
        <f t="shared" si="36"/>
        <v>0</v>
      </c>
      <c r="AU50" s="4">
        <f t="shared" si="37"/>
        <v>0</v>
      </c>
      <c r="AV50" s="4">
        <f t="shared" si="38"/>
        <v>0</v>
      </c>
      <c r="AW50" s="4">
        <f t="shared" si="39"/>
        <v>0</v>
      </c>
      <c r="AX50" s="4">
        <f t="shared" si="40"/>
        <v>0</v>
      </c>
      <c r="AY50" s="4">
        <f t="shared" si="41"/>
        <v>0</v>
      </c>
      <c r="AZ50" s="4">
        <f t="shared" si="42"/>
        <v>0</v>
      </c>
      <c r="BA50" s="4">
        <f t="shared" si="43"/>
        <v>16</v>
      </c>
      <c r="BB50" s="4">
        <f t="shared" si="44"/>
        <v>0</v>
      </c>
      <c r="BC50" s="4">
        <f t="shared" si="45"/>
        <v>0</v>
      </c>
      <c r="BD50" s="4">
        <f t="shared" si="46"/>
        <v>0</v>
      </c>
      <c r="BE50" s="4">
        <f t="shared" si="47"/>
        <v>0</v>
      </c>
      <c r="BF50" s="4">
        <f t="shared" si="48"/>
        <v>0</v>
      </c>
    </row>
    <row r="51" spans="1:58">
      <c r="A51" s="4">
        <f>MIN(StopFreqGHz+0.000001,FieldFox!A50+FreqStep)</f>
        <v>24.387999999999991</v>
      </c>
      <c r="B51" s="4">
        <f t="shared" si="18"/>
        <v>-155</v>
      </c>
      <c r="C51" s="4">
        <f t="shared" si="19"/>
        <v>2</v>
      </c>
      <c r="D51" s="4">
        <f t="shared" si="20"/>
        <v>0.33333333333333331</v>
      </c>
      <c r="E51" s="86">
        <f>NseMeas!H51</f>
        <v>438.4470651377784</v>
      </c>
      <c r="F51" s="4">
        <f t="shared" si="21"/>
        <v>4.0000000000000009</v>
      </c>
      <c r="G51" s="4">
        <f t="shared" si="22"/>
        <v>20</v>
      </c>
      <c r="H51" s="88">
        <f>10*LOG10(P1dbBWghz*1000000000*NseMeas!J51/NseMeas!BW)</f>
        <v>-29.204323247755191</v>
      </c>
      <c r="I51" s="4" t="b">
        <f t="shared" si="23"/>
        <v>0</v>
      </c>
      <c r="J51" s="87">
        <f>MAX(NseMeas!T51,K51/1000)</f>
        <v>936946158.72909153</v>
      </c>
      <c r="K51" s="87">
        <f>NseMeas!S51</f>
        <v>2093526789.3047762</v>
      </c>
      <c r="L51" s="87">
        <f>NseMeas!X51</f>
        <v>1156580630.5756848</v>
      </c>
      <c r="M51" s="88">
        <f t="shared" si="49"/>
        <v>43.163202203876551</v>
      </c>
      <c r="N51" s="87">
        <f>4*K51*NseMeas!K51*Jitter1H1s/SQRT($BZ$4)</f>
        <v>2.2808430784223326</v>
      </c>
      <c r="O51" s="4">
        <f t="shared" si="50"/>
        <v>0.2</v>
      </c>
      <c r="P51" s="4">
        <f t="shared" si="51"/>
        <v>0.1</v>
      </c>
      <c r="Q51" s="86">
        <f>MAX(0.1,P51/(1+(NseMeas!J51*J51/(NseMeas!L51*L51))))</f>
        <v>0.1</v>
      </c>
      <c r="R51" s="86">
        <f>MAX(0.1,P51/(1+((NseMeas!L51*L51)/(NseMeas!J51*J51))))</f>
        <v>0.1</v>
      </c>
      <c r="S51" s="87">
        <f>MAX(Calibration!Q51,T51/1000)</f>
        <v>6.4485344474614736E-2</v>
      </c>
      <c r="T51" s="87">
        <f>Calibration!P51</f>
        <v>1.0644853444746147</v>
      </c>
      <c r="U51" s="87">
        <f>ABS(Calibration!S51)</f>
        <v>1</v>
      </c>
      <c r="V51" s="88">
        <f>T_0*(10^((O51+DashBoard!$N$6)/10)-1)-N51</f>
        <v>48.439447854041234</v>
      </c>
      <c r="W51" s="87">
        <f>4*T51*NseMeas!T51*Jitter1H1s/SQRT($BZ$4)</f>
        <v>1689157.6790411628</v>
      </c>
      <c r="X51" s="4">
        <f t="shared" si="27"/>
        <v>1216023633.3592341</v>
      </c>
      <c r="Y51" s="4">
        <f>MIN(DashBoard!$N$5/2, X51/2)</f>
        <v>5.5</v>
      </c>
      <c r="Z51" s="86">
        <f>MAX(0.1,Y51/(1+(Calibration!H51*S51/(Calibration!J51*U51))))</f>
        <v>1.4527992327703514</v>
      </c>
      <c r="AA51" s="86">
        <f>MAX(0.1,Y51/(1+((Calibration!J51*U51)/(Calibration!H51*S51))))</f>
        <v>4.0472007672296488</v>
      </c>
      <c r="AC51" s="4">
        <f t="shared" si="52"/>
        <v>4.0472007672296488</v>
      </c>
      <c r="AD51" s="4">
        <f t="shared" si="53"/>
        <v>5.5</v>
      </c>
      <c r="AE51" s="4">
        <f t="shared" si="54"/>
        <v>1.4527992327703514</v>
      </c>
      <c r="AF51" s="4">
        <f t="shared" si="55"/>
        <v>0.1</v>
      </c>
      <c r="AG51" s="4">
        <f t="shared" si="56"/>
        <v>0.1</v>
      </c>
      <c r="AH51" s="4">
        <f t="shared" si="57"/>
        <v>0.1</v>
      </c>
      <c r="AI51" s="4">
        <f t="shared" si="25"/>
        <v>0.30000000000000004</v>
      </c>
      <c r="AJ51" s="4">
        <f t="shared" si="26"/>
        <v>21.489999999999988</v>
      </c>
      <c r="AK51" s="4">
        <f t="shared" si="28"/>
        <v>16</v>
      </c>
      <c r="AL51" s="4">
        <f t="shared" si="13"/>
        <v>0</v>
      </c>
      <c r="AM51" s="4">
        <f t="shared" si="29"/>
        <v>0</v>
      </c>
      <c r="AN51" s="4">
        <f t="shared" si="30"/>
        <v>0</v>
      </c>
      <c r="AO51" s="4">
        <f t="shared" si="31"/>
        <v>0</v>
      </c>
      <c r="AP51" s="4">
        <f t="shared" si="32"/>
        <v>0</v>
      </c>
      <c r="AQ51" s="4">
        <f t="shared" si="33"/>
        <v>0</v>
      </c>
      <c r="AR51" s="4">
        <f t="shared" si="34"/>
        <v>0</v>
      </c>
      <c r="AS51" s="4">
        <f t="shared" si="35"/>
        <v>0</v>
      </c>
      <c r="AT51" s="4">
        <f t="shared" si="36"/>
        <v>0</v>
      </c>
      <c r="AU51" s="4">
        <f t="shared" si="37"/>
        <v>0</v>
      </c>
      <c r="AV51" s="4">
        <f t="shared" si="38"/>
        <v>0</v>
      </c>
      <c r="AW51" s="4">
        <f t="shared" si="39"/>
        <v>0</v>
      </c>
      <c r="AX51" s="4">
        <f t="shared" si="40"/>
        <v>0</v>
      </c>
      <c r="AY51" s="4">
        <f t="shared" si="41"/>
        <v>0</v>
      </c>
      <c r="AZ51" s="4">
        <f t="shared" si="42"/>
        <v>0</v>
      </c>
      <c r="BA51" s="4">
        <f t="shared" si="43"/>
        <v>16</v>
      </c>
      <c r="BB51" s="4">
        <f t="shared" si="44"/>
        <v>0</v>
      </c>
      <c r="BC51" s="4">
        <f t="shared" si="45"/>
        <v>0</v>
      </c>
      <c r="BD51" s="4">
        <f t="shared" si="46"/>
        <v>0</v>
      </c>
      <c r="BE51" s="4">
        <f t="shared" si="47"/>
        <v>0</v>
      </c>
      <c r="BF51" s="4">
        <f t="shared" si="48"/>
        <v>0</v>
      </c>
    </row>
    <row r="52" spans="1:58">
      <c r="A52" s="4">
        <f>MIN(StopFreqGHz+0.000001,FieldFox!A51+FreqStep)</f>
        <v>24.91599999999999</v>
      </c>
      <c r="B52" s="4">
        <f t="shared" si="18"/>
        <v>-155</v>
      </c>
      <c r="C52" s="4">
        <f t="shared" si="19"/>
        <v>2</v>
      </c>
      <c r="D52" s="4">
        <f t="shared" si="20"/>
        <v>0.33333333333333331</v>
      </c>
      <c r="E52" s="86">
        <f>NseMeas!H52</f>
        <v>438.4470651377784</v>
      </c>
      <c r="F52" s="4">
        <f t="shared" si="21"/>
        <v>4.0000000000000009</v>
      </c>
      <c r="G52" s="4">
        <f t="shared" si="22"/>
        <v>20</v>
      </c>
      <c r="H52" s="88">
        <f>10*LOG10(P1dbBWghz*1000000000*NseMeas!J52/NseMeas!BW)</f>
        <v>-29.067148634628452</v>
      </c>
      <c r="I52" s="4" t="b">
        <f t="shared" si="23"/>
        <v>0</v>
      </c>
      <c r="J52" s="87">
        <f>MAX(NseMeas!T52,K52/1000)</f>
        <v>907793244.92570913</v>
      </c>
      <c r="K52" s="87">
        <f>NseMeas!S52</f>
        <v>2028386269.69524</v>
      </c>
      <c r="L52" s="87">
        <f>NseMeas!X52</f>
        <v>1120593024.7695308</v>
      </c>
      <c r="M52" s="88">
        <f t="shared" si="49"/>
        <v>43.163202203876551</v>
      </c>
      <c r="N52" s="87">
        <f>4*K52*NseMeas!K52*Jitter1H1s/SQRT($BZ$4)</f>
        <v>2.2807208391234823</v>
      </c>
      <c r="O52" s="4">
        <f t="shared" si="50"/>
        <v>0.2</v>
      </c>
      <c r="P52" s="4">
        <f t="shared" si="51"/>
        <v>0.1</v>
      </c>
      <c r="Q52" s="86">
        <f>MAX(0.1,P52/(1+(NseMeas!J52*J52/(NseMeas!L52*L52))))</f>
        <v>0.1</v>
      </c>
      <c r="R52" s="86">
        <f>MAX(0.1,P52/(1+((NseMeas!L52*L52)/(NseMeas!J52*J52))))</f>
        <v>0.1</v>
      </c>
      <c r="S52" s="87">
        <f>MAX(Calibration!Q52,T52/1000)</f>
        <v>6.4485344474614736E-2</v>
      </c>
      <c r="T52" s="87">
        <f>Calibration!P52</f>
        <v>1.0644853444746147</v>
      </c>
      <c r="U52" s="87">
        <f>ABS(Calibration!S52)</f>
        <v>1</v>
      </c>
      <c r="V52" s="88">
        <f>T_0*(10^((O52+DashBoard!$N$6)/10)-1)-N52</f>
        <v>48.43957009334008</v>
      </c>
      <c r="W52" s="87">
        <f>4*T52*NseMeas!T52*Jitter1H1s/SQRT($BZ$4)</f>
        <v>1636599.8369937558</v>
      </c>
      <c r="X52" s="4">
        <f t="shared" si="27"/>
        <v>1141522423.6101117</v>
      </c>
      <c r="Y52" s="4">
        <f>MIN(DashBoard!$N$5/2, X52/2)</f>
        <v>5.5</v>
      </c>
      <c r="Z52" s="86">
        <f>MAX(0.1,Y52/(1+(Calibration!H52*S52/(Calibration!J52*U52))))</f>
        <v>1.4200085984203201</v>
      </c>
      <c r="AA52" s="86">
        <f>MAX(0.1,Y52/(1+((Calibration!J52*U52)/(Calibration!H52*S52))))</f>
        <v>4.0799914015796794</v>
      </c>
      <c r="AC52" s="4">
        <f t="shared" si="52"/>
        <v>4.0799914015796794</v>
      </c>
      <c r="AD52" s="4">
        <f t="shared" si="53"/>
        <v>5.5</v>
      </c>
      <c r="AE52" s="4">
        <f t="shared" si="54"/>
        <v>1.4200085984203201</v>
      </c>
      <c r="AF52" s="4">
        <f t="shared" si="55"/>
        <v>0.1</v>
      </c>
      <c r="AG52" s="4">
        <f t="shared" si="56"/>
        <v>0.1</v>
      </c>
      <c r="AH52" s="4">
        <f t="shared" si="57"/>
        <v>0.1</v>
      </c>
      <c r="AI52" s="4">
        <f t="shared" si="25"/>
        <v>0.30000000000000004</v>
      </c>
      <c r="AJ52" s="4">
        <f t="shared" si="26"/>
        <v>21.489999999999988</v>
      </c>
      <c r="AK52" s="4">
        <f t="shared" si="28"/>
        <v>16</v>
      </c>
      <c r="AL52" s="4">
        <f t="shared" si="13"/>
        <v>0</v>
      </c>
      <c r="AM52" s="4">
        <f t="shared" si="29"/>
        <v>0</v>
      </c>
      <c r="AN52" s="4">
        <f t="shared" si="30"/>
        <v>0</v>
      </c>
      <c r="AO52" s="4">
        <f t="shared" si="31"/>
        <v>0</v>
      </c>
      <c r="AP52" s="4">
        <f t="shared" si="32"/>
        <v>0</v>
      </c>
      <c r="AQ52" s="4">
        <f t="shared" si="33"/>
        <v>0</v>
      </c>
      <c r="AR52" s="4">
        <f t="shared" si="34"/>
        <v>0</v>
      </c>
      <c r="AS52" s="4">
        <f t="shared" si="35"/>
        <v>0</v>
      </c>
      <c r="AT52" s="4">
        <f t="shared" si="36"/>
        <v>0</v>
      </c>
      <c r="AU52" s="4">
        <f t="shared" si="37"/>
        <v>0</v>
      </c>
      <c r="AV52" s="4">
        <f t="shared" si="38"/>
        <v>0</v>
      </c>
      <c r="AW52" s="4">
        <f t="shared" si="39"/>
        <v>0</v>
      </c>
      <c r="AX52" s="4">
        <f t="shared" si="40"/>
        <v>0</v>
      </c>
      <c r="AY52" s="4">
        <f t="shared" si="41"/>
        <v>0</v>
      </c>
      <c r="AZ52" s="4">
        <f t="shared" si="42"/>
        <v>0</v>
      </c>
      <c r="BA52" s="4">
        <f t="shared" si="43"/>
        <v>16</v>
      </c>
      <c r="BB52" s="4">
        <f t="shared" si="44"/>
        <v>0</v>
      </c>
      <c r="BC52" s="4">
        <f t="shared" si="45"/>
        <v>0</v>
      </c>
      <c r="BD52" s="4">
        <f t="shared" si="46"/>
        <v>0</v>
      </c>
      <c r="BE52" s="4">
        <f t="shared" si="47"/>
        <v>0</v>
      </c>
      <c r="BF52" s="4">
        <f t="shared" si="48"/>
        <v>0</v>
      </c>
    </row>
    <row r="53" spans="1:58">
      <c r="A53" s="4">
        <f>MIN(StopFreqGHz+0.000001,FieldFox!A52+FreqStep)</f>
        <v>25.443999999999988</v>
      </c>
      <c r="B53" s="4">
        <f t="shared" si="18"/>
        <v>-152</v>
      </c>
      <c r="C53" s="4">
        <f t="shared" si="19"/>
        <v>2</v>
      </c>
      <c r="D53" s="4">
        <f t="shared" si="20"/>
        <v>0.33333333333333331</v>
      </c>
      <c r="E53" s="86">
        <f>NseMeas!H53</f>
        <v>438.4470651377784</v>
      </c>
      <c r="F53" s="4">
        <f t="shared" si="21"/>
        <v>4.0000000000000009</v>
      </c>
      <c r="G53" s="4">
        <f t="shared" si="22"/>
        <v>20</v>
      </c>
      <c r="H53" s="88">
        <f>10*LOG10(P1dbBWghz*1000000000*NseMeas!J53/NseMeas!BW)</f>
        <v>-28.926766837080095</v>
      </c>
      <c r="I53" s="4" t="b">
        <f t="shared" si="23"/>
        <v>0</v>
      </c>
      <c r="J53" s="87">
        <f>MAX(NseMeas!T53,K53/1000)</f>
        <v>879547399.2290498</v>
      </c>
      <c r="K53" s="87">
        <f>NseMeas!S53</f>
        <v>1965272591.2003968</v>
      </c>
      <c r="L53" s="87">
        <f>NseMeas!X53</f>
        <v>1085725191.9713469</v>
      </c>
      <c r="M53" s="88">
        <f t="shared" si="49"/>
        <v>43.163202203876551</v>
      </c>
      <c r="N53" s="87">
        <f>4*K53*NseMeas!K53*Jitter1H1s/SQRT($BZ$4)</f>
        <v>2.2843421694159605</v>
      </c>
      <c r="O53" s="4">
        <f t="shared" si="50"/>
        <v>0.2</v>
      </c>
      <c r="P53" s="4">
        <f t="shared" si="51"/>
        <v>0.1</v>
      </c>
      <c r="Q53" s="86">
        <f>MAX(0.1,P53/(1+(NseMeas!J53*J53/(NseMeas!L53*L53))))</f>
        <v>0.1</v>
      </c>
      <c r="R53" s="86">
        <f>MAX(0.1,P53/(1+((NseMeas!L53*L53)/(NseMeas!J53*J53))))</f>
        <v>0.1</v>
      </c>
      <c r="S53" s="87">
        <f>MAX(Calibration!Q53,T53/1000)</f>
        <v>6.4485344474614736E-2</v>
      </c>
      <c r="T53" s="87">
        <f>Calibration!P53</f>
        <v>1.0644853444746147</v>
      </c>
      <c r="U53" s="87">
        <f>ABS(Calibration!S53)</f>
        <v>1</v>
      </c>
      <c r="V53" s="88">
        <f>T_0*(10^((O53+DashBoard!$N$6)/10)-1)-N53</f>
        <v>48.435948763047605</v>
      </c>
      <c r="W53" s="87">
        <f>4*T53*NseMeas!T53*Jitter1H1s/SQRT($BZ$4)</f>
        <v>1585677.2874800868</v>
      </c>
      <c r="X53" s="4">
        <f t="shared" si="27"/>
        <v>1071751225.9764861</v>
      </c>
      <c r="Y53" s="4">
        <f>MIN(DashBoard!$N$5/2, X53/2)</f>
        <v>5.5</v>
      </c>
      <c r="Z53" s="86">
        <f>MAX(0.1,Y53/(1+(Calibration!H53*S53/(Calibration!J53*U53))))</f>
        <v>2.1846233139454236</v>
      </c>
      <c r="AA53" s="86">
        <f>MAX(0.1,Y53/(1+((Calibration!J53*U53)/(Calibration!H53*S53))))</f>
        <v>3.3153766860545764</v>
      </c>
      <c r="AC53" s="4">
        <f t="shared" si="52"/>
        <v>3.3153766860545764</v>
      </c>
      <c r="AD53" s="4">
        <f t="shared" si="53"/>
        <v>5.5</v>
      </c>
      <c r="AE53" s="4">
        <f t="shared" si="54"/>
        <v>2.1846233139454236</v>
      </c>
      <c r="AF53" s="4">
        <f t="shared" si="55"/>
        <v>0.1</v>
      </c>
      <c r="AG53" s="4">
        <f t="shared" si="56"/>
        <v>0.1</v>
      </c>
      <c r="AH53" s="4">
        <f t="shared" si="57"/>
        <v>0.1</v>
      </c>
      <c r="AI53" s="4">
        <f t="shared" si="25"/>
        <v>0.30000000000000004</v>
      </c>
      <c r="AJ53" s="4">
        <f t="shared" si="26"/>
        <v>24.489999999999988</v>
      </c>
      <c r="AK53" s="4">
        <f t="shared" si="28"/>
        <v>17</v>
      </c>
      <c r="AL53" s="4">
        <f t="shared" si="13"/>
        <v>0</v>
      </c>
      <c r="AM53" s="4">
        <f t="shared" si="29"/>
        <v>0</v>
      </c>
      <c r="AN53" s="4">
        <f t="shared" si="30"/>
        <v>0</v>
      </c>
      <c r="AO53" s="4">
        <f t="shared" si="31"/>
        <v>0</v>
      </c>
      <c r="AP53" s="4">
        <f t="shared" si="32"/>
        <v>0</v>
      </c>
      <c r="AQ53" s="4">
        <f t="shared" si="33"/>
        <v>0</v>
      </c>
      <c r="AR53" s="4">
        <f t="shared" si="34"/>
        <v>0</v>
      </c>
      <c r="AS53" s="4">
        <f t="shared" si="35"/>
        <v>0</v>
      </c>
      <c r="AT53" s="4">
        <f t="shared" si="36"/>
        <v>0</v>
      </c>
      <c r="AU53" s="4">
        <f t="shared" si="37"/>
        <v>0</v>
      </c>
      <c r="AV53" s="4">
        <f t="shared" si="38"/>
        <v>0</v>
      </c>
      <c r="AW53" s="4">
        <f t="shared" si="39"/>
        <v>0</v>
      </c>
      <c r="AX53" s="4">
        <f t="shared" si="40"/>
        <v>0</v>
      </c>
      <c r="AY53" s="4">
        <f t="shared" si="41"/>
        <v>0</v>
      </c>
      <c r="AZ53" s="4">
        <f t="shared" si="42"/>
        <v>0</v>
      </c>
      <c r="BA53" s="4">
        <f t="shared" si="43"/>
        <v>0</v>
      </c>
      <c r="BB53" s="4">
        <f t="shared" si="44"/>
        <v>17</v>
      </c>
      <c r="BC53" s="4">
        <f t="shared" si="45"/>
        <v>0</v>
      </c>
      <c r="BD53" s="4">
        <f t="shared" si="46"/>
        <v>0</v>
      </c>
      <c r="BE53" s="4">
        <f t="shared" si="47"/>
        <v>0</v>
      </c>
      <c r="BF53" s="4">
        <f t="shared" si="48"/>
        <v>0</v>
      </c>
    </row>
    <row r="54" spans="1:58">
      <c r="A54" s="4">
        <f>MIN(StopFreqGHz+0.000001,FieldFox!A53+FreqStep)</f>
        <v>25.971999999999987</v>
      </c>
      <c r="B54" s="4">
        <f t="shared" si="18"/>
        <v>-152</v>
      </c>
      <c r="C54" s="4">
        <f t="shared" si="19"/>
        <v>2</v>
      </c>
      <c r="D54" s="4">
        <f t="shared" si="20"/>
        <v>0.33333333333333331</v>
      </c>
      <c r="E54" s="86">
        <f>NseMeas!H54</f>
        <v>438.4470651377784</v>
      </c>
      <c r="F54" s="4">
        <f t="shared" si="21"/>
        <v>4.0000000000000009</v>
      </c>
      <c r="G54" s="4">
        <f t="shared" si="22"/>
        <v>20</v>
      </c>
      <c r="H54" s="88">
        <f>10*LOG10(P1dbBWghz*1000000000*NseMeas!J54/NseMeas!BW)</f>
        <v>-28.789685357241289</v>
      </c>
      <c r="I54" s="4" t="b">
        <f t="shared" si="23"/>
        <v>0</v>
      </c>
      <c r="J54" s="87">
        <f>MAX(NseMeas!T54,K54/1000)</f>
        <v>852180400.19024277</v>
      </c>
      <c r="K54" s="87">
        <f>NseMeas!S54</f>
        <v>1904122690.0538228</v>
      </c>
      <c r="L54" s="87">
        <f>NseMeas!X54</f>
        <v>1051942289.8635798</v>
      </c>
      <c r="M54" s="88">
        <f t="shared" si="49"/>
        <v>43.163202203876551</v>
      </c>
      <c r="N54" s="87">
        <f>4*K54*NseMeas!K54*Jitter1H1s/SQRT($BZ$4)</f>
        <v>2.284111055033704</v>
      </c>
      <c r="O54" s="4">
        <f t="shared" si="50"/>
        <v>0.2</v>
      </c>
      <c r="P54" s="4">
        <f t="shared" si="51"/>
        <v>0.1</v>
      </c>
      <c r="Q54" s="86">
        <f>MAX(0.1,P54/(1+(NseMeas!J54*J54/(NseMeas!L54*L54))))</f>
        <v>0.1</v>
      </c>
      <c r="R54" s="86">
        <f>MAX(0.1,P54/(1+((NseMeas!L54*L54)/(NseMeas!J54*J54))))</f>
        <v>0.1</v>
      </c>
      <c r="S54" s="87">
        <f>MAX(Calibration!Q54,T54/1000)</f>
        <v>6.4485344474614736E-2</v>
      </c>
      <c r="T54" s="87">
        <f>Calibration!P54</f>
        <v>1.0644853444746147</v>
      </c>
      <c r="U54" s="87">
        <f>ABS(Calibration!S54)</f>
        <v>1</v>
      </c>
      <c r="V54" s="88">
        <f>T_0*(10^((O54+DashBoard!$N$6)/10)-1)-N54</f>
        <v>48.436179877429858</v>
      </c>
      <c r="W54" s="87">
        <f>4*T54*NseMeas!T54*Jitter1H1s/SQRT($BZ$4)</f>
        <v>1536339.1519340517</v>
      </c>
      <c r="X54" s="4">
        <f t="shared" si="27"/>
        <v>1006084433.996865</v>
      </c>
      <c r="Y54" s="4">
        <f>MIN(DashBoard!$N$5/2, X54/2)</f>
        <v>5.5</v>
      </c>
      <c r="Z54" s="86">
        <f>MAX(0.1,Y54/(1+(Calibration!H54*S54/(Calibration!J54*U54))))</f>
        <v>2.1448547032209837</v>
      </c>
      <c r="AA54" s="86">
        <f>MAX(0.1,Y54/(1+((Calibration!J54*U54)/(Calibration!H54*S54))))</f>
        <v>3.3551452967790163</v>
      </c>
      <c r="AC54" s="4">
        <f t="shared" si="52"/>
        <v>3.3551452967790163</v>
      </c>
      <c r="AD54" s="4">
        <f t="shared" si="53"/>
        <v>5.5</v>
      </c>
      <c r="AE54" s="4">
        <f t="shared" si="54"/>
        <v>2.1448547032209837</v>
      </c>
      <c r="AF54" s="4">
        <f t="shared" si="55"/>
        <v>0.1</v>
      </c>
      <c r="AG54" s="4">
        <f t="shared" si="56"/>
        <v>0.1</v>
      </c>
      <c r="AH54" s="4">
        <f t="shared" si="57"/>
        <v>0.1</v>
      </c>
      <c r="AI54" s="4">
        <f t="shared" si="25"/>
        <v>0.30000000000000004</v>
      </c>
      <c r="AJ54" s="4">
        <f t="shared" si="26"/>
        <v>24.489999999999988</v>
      </c>
      <c r="AK54" s="4">
        <f t="shared" si="28"/>
        <v>17</v>
      </c>
      <c r="AL54" s="4">
        <f t="shared" si="13"/>
        <v>0</v>
      </c>
      <c r="AM54" s="4">
        <f t="shared" si="29"/>
        <v>0</v>
      </c>
      <c r="AN54" s="4">
        <f t="shared" si="30"/>
        <v>0</v>
      </c>
      <c r="AO54" s="4">
        <f t="shared" si="31"/>
        <v>0</v>
      </c>
      <c r="AP54" s="4">
        <f t="shared" si="32"/>
        <v>0</v>
      </c>
      <c r="AQ54" s="4">
        <f t="shared" si="33"/>
        <v>0</v>
      </c>
      <c r="AR54" s="4">
        <f t="shared" si="34"/>
        <v>0</v>
      </c>
      <c r="AS54" s="4">
        <f t="shared" si="35"/>
        <v>0</v>
      </c>
      <c r="AT54" s="4">
        <f t="shared" si="36"/>
        <v>0</v>
      </c>
      <c r="AU54" s="4">
        <f t="shared" si="37"/>
        <v>0</v>
      </c>
      <c r="AV54" s="4">
        <f t="shared" si="38"/>
        <v>0</v>
      </c>
      <c r="AW54" s="4">
        <f t="shared" si="39"/>
        <v>0</v>
      </c>
      <c r="AX54" s="4">
        <f t="shared" si="40"/>
        <v>0</v>
      </c>
      <c r="AY54" s="4">
        <f t="shared" si="41"/>
        <v>0</v>
      </c>
      <c r="AZ54" s="4">
        <f t="shared" si="42"/>
        <v>0</v>
      </c>
      <c r="BA54" s="4">
        <f t="shared" si="43"/>
        <v>0</v>
      </c>
      <c r="BB54" s="4">
        <f t="shared" si="44"/>
        <v>17</v>
      </c>
      <c r="BC54" s="4">
        <f t="shared" si="45"/>
        <v>0</v>
      </c>
      <c r="BD54" s="4">
        <f t="shared" si="46"/>
        <v>0</v>
      </c>
      <c r="BE54" s="4">
        <f t="shared" si="47"/>
        <v>0</v>
      </c>
      <c r="BF54" s="4">
        <f t="shared" si="48"/>
        <v>0</v>
      </c>
    </row>
    <row r="55" spans="1:58">
      <c r="A55" s="4">
        <f>MIN(StopFreqGHz+0.000001,FieldFox!A54+FreqStep)</f>
        <v>26.499999999999986</v>
      </c>
      <c r="B55" s="4">
        <f t="shared" si="18"/>
        <v>-152</v>
      </c>
      <c r="C55" s="4">
        <f t="shared" si="19"/>
        <v>2</v>
      </c>
      <c r="D55" s="4">
        <f t="shared" si="20"/>
        <v>0.33333333333333331</v>
      </c>
      <c r="E55" s="86">
        <f>NseMeas!H55</f>
        <v>438.4470651377784</v>
      </c>
      <c r="F55" s="4">
        <f t="shared" si="21"/>
        <v>4.0000000000000009</v>
      </c>
      <c r="G55" s="4">
        <f t="shared" si="22"/>
        <v>20</v>
      </c>
      <c r="H55" s="88">
        <f>10*LOG10(P1dbBWghz*1000000000*NseMeas!J55/NseMeas!BW)</f>
        <v>-28.652597709000567</v>
      </c>
      <c r="I55" s="4" t="b">
        <f t="shared" si="23"/>
        <v>0</v>
      </c>
      <c r="J55" s="87">
        <f>MAX(NseMeas!T55,K55/1000)</f>
        <v>825664904.33561718</v>
      </c>
      <c r="K55" s="87">
        <f>NseMeas!S55</f>
        <v>1844875464.6010702</v>
      </c>
      <c r="L55" s="87">
        <f>NseMeas!X55</f>
        <v>1019210560.265453</v>
      </c>
      <c r="M55" s="88">
        <f t="shared" si="49"/>
        <v>43.163202203876551</v>
      </c>
      <c r="N55" s="87">
        <f>4*K55*NseMeas!K55*Jitter1H1s/SQRT($BZ$4)</f>
        <v>2.2838871317619027</v>
      </c>
      <c r="O55" s="4">
        <f t="shared" si="50"/>
        <v>0.2</v>
      </c>
      <c r="P55" s="4">
        <f t="shared" si="51"/>
        <v>0.1</v>
      </c>
      <c r="Q55" s="86">
        <f>MAX(0.1,P55/(1+(NseMeas!J55*J55/(NseMeas!L55*L55))))</f>
        <v>0.1</v>
      </c>
      <c r="R55" s="86">
        <f>MAX(0.1,P55/(1+((NseMeas!L55*L55)/(NseMeas!J55*J55))))</f>
        <v>0.1</v>
      </c>
      <c r="S55" s="87">
        <f>MAX(Calibration!Q55,T55/1000)</f>
        <v>6.4485344474614736E-2</v>
      </c>
      <c r="T55" s="87">
        <f>Calibration!P55</f>
        <v>1.0644853444746147</v>
      </c>
      <c r="U55" s="87">
        <f>ABS(Calibration!S55)</f>
        <v>1</v>
      </c>
      <c r="V55" s="88">
        <f>T_0*(10^((O55+DashBoard!$N$6)/10)-1)-N55</f>
        <v>48.436403800701662</v>
      </c>
      <c r="W55" s="87">
        <f>4*T55*NseMeas!T55*Jitter1H1s/SQRT($BZ$4)</f>
        <v>1488536.1346324191</v>
      </c>
      <c r="X55" s="4">
        <f t="shared" si="27"/>
        <v>944441323.65358889</v>
      </c>
      <c r="Y55" s="4">
        <f>MIN(DashBoard!$N$5/2, X55/2)</f>
        <v>5.5</v>
      </c>
      <c r="Z55" s="86">
        <f>MAX(0.1,Y55/(1+(Calibration!H55*S55/(Calibration!J55*U55))))</f>
        <v>2.1052993102252557</v>
      </c>
      <c r="AA55" s="86">
        <f>MAX(0.1,Y55/(1+((Calibration!J55*U55)/(Calibration!H55*S55))))</f>
        <v>3.3947006897747438</v>
      </c>
      <c r="AC55" s="4">
        <f t="shared" si="52"/>
        <v>3.3947006897747438</v>
      </c>
      <c r="AD55" s="4">
        <f t="shared" si="53"/>
        <v>5.5</v>
      </c>
      <c r="AE55" s="4">
        <f t="shared" si="54"/>
        <v>2.1052993102252557</v>
      </c>
      <c r="AF55" s="4">
        <f t="shared" si="55"/>
        <v>0.1</v>
      </c>
      <c r="AG55" s="4">
        <f t="shared" si="56"/>
        <v>0.1</v>
      </c>
      <c r="AH55" s="4">
        <f t="shared" si="57"/>
        <v>0.1</v>
      </c>
      <c r="AI55" s="4">
        <f t="shared" si="25"/>
        <v>0.30000000000000004</v>
      </c>
      <c r="AJ55" s="4">
        <f t="shared" si="26"/>
        <v>24.489999999999988</v>
      </c>
      <c r="AK55" s="4">
        <f t="shared" si="28"/>
        <v>17</v>
      </c>
      <c r="AL55" s="4">
        <f t="shared" si="13"/>
        <v>0</v>
      </c>
      <c r="AM55" s="4">
        <f t="shared" si="29"/>
        <v>0</v>
      </c>
      <c r="AN55" s="4">
        <f t="shared" si="30"/>
        <v>0</v>
      </c>
      <c r="AO55" s="4">
        <f t="shared" si="31"/>
        <v>0</v>
      </c>
      <c r="AP55" s="4">
        <f t="shared" si="32"/>
        <v>0</v>
      </c>
      <c r="AQ55" s="4">
        <f t="shared" si="33"/>
        <v>0</v>
      </c>
      <c r="AR55" s="4">
        <f t="shared" si="34"/>
        <v>0</v>
      </c>
      <c r="AS55" s="4">
        <f t="shared" si="35"/>
        <v>0</v>
      </c>
      <c r="AT55" s="4">
        <f t="shared" si="36"/>
        <v>0</v>
      </c>
      <c r="AU55" s="4">
        <f t="shared" si="37"/>
        <v>0</v>
      </c>
      <c r="AV55" s="4">
        <f t="shared" si="38"/>
        <v>0</v>
      </c>
      <c r="AW55" s="4">
        <f t="shared" si="39"/>
        <v>0</v>
      </c>
      <c r="AX55" s="4">
        <f t="shared" si="40"/>
        <v>0</v>
      </c>
      <c r="AY55" s="4">
        <f t="shared" si="41"/>
        <v>0</v>
      </c>
      <c r="AZ55" s="4">
        <f t="shared" si="42"/>
        <v>0</v>
      </c>
      <c r="BA55" s="4">
        <f t="shared" si="43"/>
        <v>0</v>
      </c>
      <c r="BB55" s="4">
        <f t="shared" si="44"/>
        <v>17</v>
      </c>
      <c r="BC55" s="4">
        <f t="shared" si="45"/>
        <v>0</v>
      </c>
      <c r="BD55" s="4">
        <f t="shared" si="46"/>
        <v>0</v>
      </c>
      <c r="BE55" s="4">
        <f t="shared" si="47"/>
        <v>0</v>
      </c>
      <c r="BF55" s="4">
        <f t="shared" si="48"/>
        <v>0</v>
      </c>
    </row>
    <row r="56" spans="1:58">
      <c r="A56" s="4">
        <f>MIN(StopFreqGHz+0.000001,FieldFox!A55+FreqStep)</f>
        <v>26.500001000000001</v>
      </c>
      <c r="B56" s="4">
        <f t="shared" si="18"/>
        <v>-152</v>
      </c>
      <c r="C56" s="4">
        <f t="shared" si="19"/>
        <v>2</v>
      </c>
      <c r="D56" s="4">
        <f t="shared" si="20"/>
        <v>0.33333333333333331</v>
      </c>
      <c r="E56" s="86">
        <f>NseMeas!H56</f>
        <v>438.4470651377784</v>
      </c>
      <c r="F56" s="4">
        <f t="shared" si="21"/>
        <v>4.0000000000000009</v>
      </c>
      <c r="G56" s="4">
        <f t="shared" si="22"/>
        <v>20</v>
      </c>
      <c r="H56" s="88">
        <f>10*LOG10(P1dbBWghz*1000000000*NseMeas!J56/NseMeas!BW)</f>
        <v>-28.652597449359142</v>
      </c>
      <c r="I56" s="4" t="b">
        <f t="shared" si="23"/>
        <v>0</v>
      </c>
      <c r="J56" s="87">
        <f>MAX(NseMeas!T56,K56/1000)</f>
        <v>825664854.90636683</v>
      </c>
      <c r="K56" s="87">
        <f>NseMeas!S56</f>
        <v>1844875354.154526</v>
      </c>
      <c r="L56" s="87">
        <f>NseMeas!X56</f>
        <v>1019210499.2481589</v>
      </c>
      <c r="M56" s="88">
        <f t="shared" si="49"/>
        <v>43.163202203876551</v>
      </c>
      <c r="N56" s="87">
        <f>4*K56*NseMeas!K56*Jitter1H1s/SQRT($BZ$4)</f>
        <v>2.283887131344474</v>
      </c>
      <c r="O56" s="4">
        <f t="shared" si="50"/>
        <v>0.2</v>
      </c>
      <c r="P56" s="4">
        <f t="shared" si="51"/>
        <v>0.1</v>
      </c>
      <c r="Q56" s="86">
        <f>MAX(0.1,P56/(1+(NseMeas!J56*J56/(NseMeas!L56*L56))))</f>
        <v>0.1</v>
      </c>
      <c r="R56" s="86">
        <f>MAX(0.1,P56/(1+((NseMeas!L56*L56)/(NseMeas!J56*J56))))</f>
        <v>0.1</v>
      </c>
      <c r="S56" s="87">
        <f>MAX(Calibration!Q56,T56/1000)</f>
        <v>6.4485344474614736E-2</v>
      </c>
      <c r="T56" s="87">
        <f>Calibration!P56</f>
        <v>1.0644853444746147</v>
      </c>
      <c r="U56" s="87">
        <f>ABS(Calibration!S56)</f>
        <v>1</v>
      </c>
      <c r="V56" s="88">
        <f>T_0*(10^((O56+DashBoard!$N$6)/10)-1)-N56</f>
        <v>48.436403801119091</v>
      </c>
      <c r="W56" s="87">
        <f>4*T56*NseMeas!T56*Jitter1H1s/SQRT($BZ$4)</f>
        <v>1488536.0455197236</v>
      </c>
      <c r="X56" s="4">
        <f t="shared" si="27"/>
        <v>944441210.55747628</v>
      </c>
      <c r="Y56" s="4">
        <f>MIN(DashBoard!$N$5/2, X56/2)</f>
        <v>5.5</v>
      </c>
      <c r="Z56" s="86">
        <f>MAX(0.1,Y56/(1+(Calibration!H56*S56/(Calibration!J56*U56))))</f>
        <v>2.1052992355230069</v>
      </c>
      <c r="AA56" s="86">
        <f>MAX(0.1,Y56/(1+((Calibration!J56*U56)/(Calibration!H56*S56))))</f>
        <v>3.3947007644769931</v>
      </c>
      <c r="AC56" s="4">
        <f t="shared" si="52"/>
        <v>3.3947007644769931</v>
      </c>
      <c r="AD56" s="4">
        <f t="shared" si="53"/>
        <v>5.5</v>
      </c>
      <c r="AE56" s="4">
        <f t="shared" si="54"/>
        <v>2.1052992355230069</v>
      </c>
      <c r="AF56" s="4">
        <f t="shared" si="55"/>
        <v>0.1</v>
      </c>
      <c r="AG56" s="4">
        <f t="shared" si="56"/>
        <v>0.1</v>
      </c>
      <c r="AH56" s="4">
        <f t="shared" si="57"/>
        <v>0.1</v>
      </c>
      <c r="AI56" s="4">
        <f t="shared" si="25"/>
        <v>0.30000000000000004</v>
      </c>
      <c r="AJ56" s="4">
        <f t="shared" si="26"/>
        <v>24.489999999999988</v>
      </c>
      <c r="AK56" s="4">
        <f t="shared" si="28"/>
        <v>17</v>
      </c>
      <c r="AL56" s="4">
        <f t="shared" si="13"/>
        <v>0</v>
      </c>
      <c r="AM56" s="4">
        <f t="shared" si="29"/>
        <v>0</v>
      </c>
      <c r="AN56" s="4">
        <f t="shared" si="30"/>
        <v>0</v>
      </c>
      <c r="AO56" s="4">
        <f t="shared" si="31"/>
        <v>0</v>
      </c>
      <c r="AP56" s="4">
        <f t="shared" si="32"/>
        <v>0</v>
      </c>
      <c r="AQ56" s="4">
        <f t="shared" si="33"/>
        <v>0</v>
      </c>
      <c r="AR56" s="4">
        <f t="shared" si="34"/>
        <v>0</v>
      </c>
      <c r="AS56" s="4">
        <f t="shared" si="35"/>
        <v>0</v>
      </c>
      <c r="AT56" s="4">
        <f t="shared" si="36"/>
        <v>0</v>
      </c>
      <c r="AU56" s="4">
        <f t="shared" si="37"/>
        <v>0</v>
      </c>
      <c r="AV56" s="4">
        <f t="shared" si="38"/>
        <v>0</v>
      </c>
      <c r="AW56" s="4">
        <f t="shared" si="39"/>
        <v>0</v>
      </c>
      <c r="AX56" s="4">
        <f t="shared" si="40"/>
        <v>0</v>
      </c>
      <c r="AY56" s="4">
        <f t="shared" si="41"/>
        <v>0</v>
      </c>
      <c r="AZ56" s="4">
        <f t="shared" si="42"/>
        <v>0</v>
      </c>
      <c r="BA56" s="4">
        <f t="shared" si="43"/>
        <v>0</v>
      </c>
      <c r="BB56" s="4">
        <f t="shared" si="44"/>
        <v>17</v>
      </c>
      <c r="BC56" s="4">
        <f t="shared" si="45"/>
        <v>0</v>
      </c>
      <c r="BD56" s="4">
        <f t="shared" si="46"/>
        <v>0</v>
      </c>
      <c r="BE56" s="4">
        <f t="shared" si="47"/>
        <v>0</v>
      </c>
      <c r="BF56" s="4">
        <f t="shared" si="48"/>
        <v>0</v>
      </c>
    </row>
    <row r="57" spans="1:58">
      <c r="A57" s="4">
        <f>MIN(StopFreqGHz+0.000001,FieldFox!A56+FreqStep)</f>
        <v>26.500001000000001</v>
      </c>
      <c r="B57" s="4">
        <f t="shared" si="18"/>
        <v>-152</v>
      </c>
      <c r="C57" s="4">
        <f t="shared" si="19"/>
        <v>2</v>
      </c>
      <c r="D57" s="4">
        <f t="shared" si="20"/>
        <v>0.33333333333333331</v>
      </c>
      <c r="E57" s="86">
        <f>NseMeas!H57</f>
        <v>438.4470651377784</v>
      </c>
      <c r="F57" s="4">
        <f t="shared" si="21"/>
        <v>4.0000000000000009</v>
      </c>
      <c r="G57" s="4">
        <f t="shared" si="22"/>
        <v>20</v>
      </c>
      <c r="H57" s="88">
        <f>10*LOG10(P1dbBWghz*1000000000*NseMeas!J57/NseMeas!BW)</f>
        <v>-28.652597449359142</v>
      </c>
      <c r="I57" s="4" t="b">
        <f t="shared" si="23"/>
        <v>0</v>
      </c>
      <c r="J57" s="87">
        <f>MAX(NseMeas!T57,K57/1000)</f>
        <v>825664854.90636683</v>
      </c>
      <c r="K57" s="87">
        <f>NseMeas!S57</f>
        <v>1844875354.154526</v>
      </c>
      <c r="L57" s="87">
        <f>NseMeas!X57</f>
        <v>1019210499.2481589</v>
      </c>
      <c r="M57" s="88">
        <f t="shared" si="49"/>
        <v>43.163202203876551</v>
      </c>
      <c r="N57" s="87">
        <f>4*K57*NseMeas!K57*Jitter1H1s/SQRT($BZ$4)</f>
        <v>2.283887131344474</v>
      </c>
      <c r="O57" s="4">
        <f t="shared" si="50"/>
        <v>0.2</v>
      </c>
      <c r="P57" s="4">
        <f t="shared" si="51"/>
        <v>0.1</v>
      </c>
      <c r="Q57" s="86">
        <f>MAX(0.1,P57/(1+(NseMeas!J57*J57/(NseMeas!L57*L57))))</f>
        <v>0.1</v>
      </c>
      <c r="R57" s="86">
        <f>MAX(0.1,P57/(1+((NseMeas!L57*L57)/(NseMeas!J57*J57))))</f>
        <v>0.1</v>
      </c>
      <c r="S57" s="87">
        <f>MAX(Calibration!Q57,T57/1000)</f>
        <v>6.4485344474614736E-2</v>
      </c>
      <c r="T57" s="87">
        <f>Calibration!P57</f>
        <v>1.0644853444746147</v>
      </c>
      <c r="U57" s="87">
        <f>ABS(Calibration!S57)</f>
        <v>1</v>
      </c>
      <c r="V57" s="88">
        <f>T_0*(10^((O57+DashBoard!$N$6)/10)-1)-N57</f>
        <v>48.436403801119091</v>
      </c>
      <c r="W57" s="87">
        <f>4*T57*NseMeas!T57*Jitter1H1s/SQRT($BZ$4)</f>
        <v>1488536.0455197236</v>
      </c>
      <c r="X57" s="4">
        <f t="shared" si="27"/>
        <v>944441210.55747628</v>
      </c>
      <c r="Y57" s="4">
        <f>MIN(DashBoard!$N$5/2, X57/2)</f>
        <v>5.5</v>
      </c>
      <c r="Z57" s="86">
        <f>MAX(0.1,Y57/(1+(Calibration!H57*S57/(Calibration!J57*U57))))</f>
        <v>2.1052992355230069</v>
      </c>
      <c r="AA57" s="86">
        <f>MAX(0.1,Y57/(1+((Calibration!J57*U57)/(Calibration!H57*S57))))</f>
        <v>3.3947007644769931</v>
      </c>
      <c r="AC57" s="4">
        <f t="shared" si="52"/>
        <v>3.3947007644769931</v>
      </c>
      <c r="AD57" s="4">
        <f t="shared" si="53"/>
        <v>5.5</v>
      </c>
      <c r="AE57" s="4">
        <f t="shared" si="54"/>
        <v>2.1052992355230069</v>
      </c>
      <c r="AF57" s="4">
        <f t="shared" si="55"/>
        <v>0.1</v>
      </c>
      <c r="AG57" s="4">
        <f t="shared" si="56"/>
        <v>0.1</v>
      </c>
      <c r="AH57" s="4">
        <f t="shared" si="57"/>
        <v>0.1</v>
      </c>
      <c r="AI57" s="4">
        <f t="shared" si="25"/>
        <v>0.30000000000000004</v>
      </c>
      <c r="AJ57" s="4">
        <f t="shared" si="26"/>
        <v>24.489999999999988</v>
      </c>
      <c r="AK57" s="4">
        <f t="shared" si="28"/>
        <v>17</v>
      </c>
      <c r="AL57" s="4">
        <f t="shared" si="13"/>
        <v>0</v>
      </c>
      <c r="AM57" s="4">
        <f t="shared" si="29"/>
        <v>0</v>
      </c>
      <c r="AN57" s="4">
        <f t="shared" si="30"/>
        <v>0</v>
      </c>
      <c r="AO57" s="4">
        <f t="shared" si="31"/>
        <v>0</v>
      </c>
      <c r="AP57" s="4">
        <f t="shared" si="32"/>
        <v>0</v>
      </c>
      <c r="AQ57" s="4">
        <f t="shared" si="33"/>
        <v>0</v>
      </c>
      <c r="AR57" s="4">
        <f t="shared" si="34"/>
        <v>0</v>
      </c>
      <c r="AS57" s="4">
        <f t="shared" si="35"/>
        <v>0</v>
      </c>
      <c r="AT57" s="4">
        <f t="shared" si="36"/>
        <v>0</v>
      </c>
      <c r="AU57" s="4">
        <f t="shared" si="37"/>
        <v>0</v>
      </c>
      <c r="AV57" s="4">
        <f t="shared" si="38"/>
        <v>0</v>
      </c>
      <c r="AW57" s="4">
        <f t="shared" si="39"/>
        <v>0</v>
      </c>
      <c r="AX57" s="4">
        <f t="shared" si="40"/>
        <v>0</v>
      </c>
      <c r="AY57" s="4">
        <f t="shared" si="41"/>
        <v>0</v>
      </c>
      <c r="AZ57" s="4">
        <f t="shared" si="42"/>
        <v>0</v>
      </c>
      <c r="BA57" s="4">
        <f t="shared" si="43"/>
        <v>0</v>
      </c>
      <c r="BB57" s="4">
        <f t="shared" si="44"/>
        <v>17</v>
      </c>
      <c r="BC57" s="4">
        <f t="shared" si="45"/>
        <v>0</v>
      </c>
      <c r="BD57" s="4">
        <f t="shared" si="46"/>
        <v>0</v>
      </c>
      <c r="BE57" s="4">
        <f t="shared" si="47"/>
        <v>0</v>
      </c>
      <c r="BF57" s="4">
        <f t="shared" si="48"/>
        <v>0</v>
      </c>
    </row>
    <row r="58" spans="1:58">
      <c r="A58" s="4">
        <f>MIN(StopFreqGHz+0.000001,FieldFox!A57+FreqStep)</f>
        <v>26.500001000000001</v>
      </c>
      <c r="B58" s="4">
        <f t="shared" si="18"/>
        <v>-152</v>
      </c>
      <c r="C58" s="4">
        <f t="shared" si="19"/>
        <v>2</v>
      </c>
      <c r="D58" s="4">
        <f t="shared" si="20"/>
        <v>0.33333333333333331</v>
      </c>
      <c r="E58" s="86">
        <f>NseMeas!H58</f>
        <v>438.4470651377784</v>
      </c>
      <c r="F58" s="4">
        <f t="shared" si="21"/>
        <v>4.0000000000000009</v>
      </c>
      <c r="G58" s="4">
        <f t="shared" si="22"/>
        <v>20</v>
      </c>
      <c r="H58" s="88">
        <f>10*LOG10(P1dbBWghz*1000000000*NseMeas!J58/NseMeas!BW)</f>
        <v>-28.652597449359142</v>
      </c>
      <c r="I58" s="4" t="b">
        <f t="shared" si="23"/>
        <v>0</v>
      </c>
      <c r="J58" s="87">
        <f>MAX(NseMeas!T58,K58/1000)</f>
        <v>825664854.90636683</v>
      </c>
      <c r="K58" s="87">
        <f>NseMeas!S58</f>
        <v>1844875354.154526</v>
      </c>
      <c r="L58" s="87">
        <f>NseMeas!X58</f>
        <v>1019210499.2481589</v>
      </c>
      <c r="M58" s="88">
        <f t="shared" si="49"/>
        <v>43.163202203876551</v>
      </c>
      <c r="N58" s="87">
        <f>4*K58*NseMeas!K58*Jitter1H1s/SQRT($BZ$4)</f>
        <v>2.283887131344474</v>
      </c>
      <c r="O58" s="4">
        <f t="shared" si="50"/>
        <v>0.2</v>
      </c>
      <c r="P58" s="4">
        <f t="shared" si="51"/>
        <v>0.1</v>
      </c>
      <c r="Q58" s="86">
        <f>MAX(0.1,P58/(1+(NseMeas!J58*J58/(NseMeas!L58*L58))))</f>
        <v>0.1</v>
      </c>
      <c r="R58" s="86">
        <f>MAX(0.1,P58/(1+((NseMeas!L58*L58)/(NseMeas!J58*J58))))</f>
        <v>0.1</v>
      </c>
      <c r="S58" s="87">
        <f>MAX(Calibration!Q58,T58/1000)</f>
        <v>6.4485344474614736E-2</v>
      </c>
      <c r="T58" s="87">
        <f>Calibration!P58</f>
        <v>1.0644853444746147</v>
      </c>
      <c r="U58" s="87">
        <f>ABS(Calibration!S58)</f>
        <v>1</v>
      </c>
      <c r="V58" s="88">
        <f>T_0*(10^((O58+DashBoard!$N$6)/10)-1)-N58</f>
        <v>48.436403801119091</v>
      </c>
      <c r="W58" s="87">
        <f>4*T58*NseMeas!T58*Jitter1H1s/SQRT($BZ$4)</f>
        <v>1488536.0455197236</v>
      </c>
      <c r="X58" s="4">
        <f t="shared" si="27"/>
        <v>944441210.55747628</v>
      </c>
      <c r="Y58" s="4">
        <f>MIN(DashBoard!$N$5/2, X58/2)</f>
        <v>5.5</v>
      </c>
      <c r="Z58" s="86">
        <f>MAX(0.1,Y58/(1+(Calibration!H58*S58/(Calibration!J58*U58))))</f>
        <v>2.1052992355230069</v>
      </c>
      <c r="AA58" s="86">
        <f>MAX(0.1,Y58/(1+((Calibration!J58*U58)/(Calibration!H58*S58))))</f>
        <v>3.3947007644769931</v>
      </c>
      <c r="AC58" s="4">
        <f t="shared" si="52"/>
        <v>3.3947007644769931</v>
      </c>
      <c r="AD58" s="4">
        <f t="shared" si="53"/>
        <v>5.5</v>
      </c>
      <c r="AE58" s="4">
        <f t="shared" si="54"/>
        <v>2.1052992355230069</v>
      </c>
      <c r="AF58" s="4">
        <f t="shared" si="55"/>
        <v>0.1</v>
      </c>
      <c r="AG58" s="4">
        <f t="shared" si="56"/>
        <v>0.1</v>
      </c>
      <c r="AH58" s="4">
        <f t="shared" si="57"/>
        <v>0.1</v>
      </c>
      <c r="AI58" s="4">
        <f t="shared" si="25"/>
        <v>0.30000000000000004</v>
      </c>
      <c r="AJ58" s="4">
        <f t="shared" si="26"/>
        <v>24.489999999999988</v>
      </c>
      <c r="AK58" s="4">
        <f t="shared" si="28"/>
        <v>17</v>
      </c>
      <c r="AL58" s="4">
        <f t="shared" si="13"/>
        <v>0</v>
      </c>
      <c r="AM58" s="4">
        <f t="shared" si="29"/>
        <v>0</v>
      </c>
      <c r="AN58" s="4">
        <f t="shared" si="30"/>
        <v>0</v>
      </c>
      <c r="AO58" s="4">
        <f t="shared" si="31"/>
        <v>0</v>
      </c>
      <c r="AP58" s="4">
        <f t="shared" si="32"/>
        <v>0</v>
      </c>
      <c r="AQ58" s="4">
        <f t="shared" si="33"/>
        <v>0</v>
      </c>
      <c r="AR58" s="4">
        <f t="shared" si="34"/>
        <v>0</v>
      </c>
      <c r="AS58" s="4">
        <f t="shared" si="35"/>
        <v>0</v>
      </c>
      <c r="AT58" s="4">
        <f t="shared" si="36"/>
        <v>0</v>
      </c>
      <c r="AU58" s="4">
        <f t="shared" si="37"/>
        <v>0</v>
      </c>
      <c r="AV58" s="4">
        <f t="shared" si="38"/>
        <v>0</v>
      </c>
      <c r="AW58" s="4">
        <f t="shared" si="39"/>
        <v>0</v>
      </c>
      <c r="AX58" s="4">
        <f t="shared" si="40"/>
        <v>0</v>
      </c>
      <c r="AY58" s="4">
        <f t="shared" si="41"/>
        <v>0</v>
      </c>
      <c r="AZ58" s="4">
        <f t="shared" si="42"/>
        <v>0</v>
      </c>
      <c r="BA58" s="4">
        <f t="shared" si="43"/>
        <v>0</v>
      </c>
      <c r="BB58" s="4">
        <f t="shared" si="44"/>
        <v>17</v>
      </c>
      <c r="BC58" s="4">
        <f t="shared" si="45"/>
        <v>0</v>
      </c>
      <c r="BD58" s="4">
        <f t="shared" si="46"/>
        <v>0</v>
      </c>
      <c r="BE58" s="4">
        <f t="shared" si="47"/>
        <v>0</v>
      </c>
      <c r="BF58" s="4">
        <f t="shared" si="48"/>
        <v>0</v>
      </c>
    </row>
    <row r="59" spans="1:58">
      <c r="A59" s="4">
        <f>MIN(StopFreqGHz+0.000001,FieldFox!A58+FreqStep)</f>
        <v>26.500001000000001</v>
      </c>
      <c r="B59" s="4">
        <f t="shared" si="18"/>
        <v>-152</v>
      </c>
      <c r="C59" s="4">
        <f t="shared" si="19"/>
        <v>2</v>
      </c>
      <c r="D59" s="4">
        <f t="shared" si="20"/>
        <v>0.33333333333333331</v>
      </c>
      <c r="E59" s="86">
        <f>NseMeas!H59</f>
        <v>438.4470651377784</v>
      </c>
      <c r="F59" s="4">
        <f t="shared" si="21"/>
        <v>4.0000000000000009</v>
      </c>
      <c r="G59" s="4">
        <f t="shared" si="22"/>
        <v>20</v>
      </c>
      <c r="H59" s="88">
        <f>10*LOG10(P1dbBWghz*1000000000*NseMeas!J59/NseMeas!BW)</f>
        <v>-28.652597449359142</v>
      </c>
      <c r="I59" s="4" t="b">
        <f t="shared" si="23"/>
        <v>0</v>
      </c>
      <c r="J59" s="87">
        <f>MAX(NseMeas!T59,K59/1000)</f>
        <v>825664854.90636683</v>
      </c>
      <c r="K59" s="87">
        <f>NseMeas!S59</f>
        <v>1844875354.154526</v>
      </c>
      <c r="L59" s="87">
        <f>NseMeas!X59</f>
        <v>1019210499.2481589</v>
      </c>
      <c r="M59" s="88">
        <f t="shared" si="49"/>
        <v>43.163202203876551</v>
      </c>
      <c r="N59" s="87">
        <f>4*K59*NseMeas!K59*Jitter1H1s/SQRT($BZ$4)</f>
        <v>2.283887131344474</v>
      </c>
      <c r="O59" s="4">
        <f t="shared" si="50"/>
        <v>0.2</v>
      </c>
      <c r="P59" s="4">
        <f t="shared" si="51"/>
        <v>0.1</v>
      </c>
      <c r="Q59" s="86">
        <f>MAX(0.1,P59/(1+(NseMeas!J59*J59/(NseMeas!L59*L59))))</f>
        <v>0.1</v>
      </c>
      <c r="R59" s="86">
        <f>MAX(0.1,P59/(1+((NseMeas!L59*L59)/(NseMeas!J59*J59))))</f>
        <v>0.1</v>
      </c>
      <c r="S59" s="87">
        <f>MAX(Calibration!Q59,T59/1000)</f>
        <v>6.4485344474614736E-2</v>
      </c>
      <c r="T59" s="87">
        <f>Calibration!P59</f>
        <v>1.0644853444746147</v>
      </c>
      <c r="U59" s="87">
        <f>ABS(Calibration!S59)</f>
        <v>1</v>
      </c>
      <c r="V59" s="88">
        <f>T_0*(10^((O59+DashBoard!$N$6)/10)-1)-N59</f>
        <v>48.436403801119091</v>
      </c>
      <c r="W59" s="87">
        <f>4*T59*NseMeas!T59*Jitter1H1s/SQRT($BZ$4)</f>
        <v>1488536.0455197236</v>
      </c>
      <c r="X59" s="4">
        <f t="shared" si="27"/>
        <v>944441210.55747628</v>
      </c>
      <c r="Y59" s="4">
        <f>MIN(DashBoard!$N$5/2, X59/2)</f>
        <v>5.5</v>
      </c>
      <c r="Z59" s="86">
        <f>MAX(0.1,Y59/(1+(Calibration!H59*S59/(Calibration!J59*U59))))</f>
        <v>2.1052992355230069</v>
      </c>
      <c r="AA59" s="86">
        <f>MAX(0.1,Y59/(1+((Calibration!J59*U59)/(Calibration!H59*S59))))</f>
        <v>3.3947007644769931</v>
      </c>
      <c r="AC59" s="4">
        <f t="shared" si="52"/>
        <v>3.3947007644769931</v>
      </c>
      <c r="AD59" s="4">
        <f t="shared" si="53"/>
        <v>5.5</v>
      </c>
      <c r="AE59" s="4">
        <f t="shared" si="54"/>
        <v>2.1052992355230069</v>
      </c>
      <c r="AF59" s="4">
        <f t="shared" si="55"/>
        <v>0.1</v>
      </c>
      <c r="AG59" s="4">
        <f t="shared" si="56"/>
        <v>0.1</v>
      </c>
      <c r="AH59" s="4">
        <f t="shared" si="57"/>
        <v>0.1</v>
      </c>
      <c r="AI59" s="4">
        <f t="shared" si="25"/>
        <v>0.30000000000000004</v>
      </c>
      <c r="AJ59" s="4">
        <f t="shared" si="26"/>
        <v>24.489999999999988</v>
      </c>
      <c r="AK59" s="4">
        <f t="shared" si="28"/>
        <v>17</v>
      </c>
      <c r="AL59" s="4">
        <f t="shared" si="13"/>
        <v>0</v>
      </c>
      <c r="AM59" s="4">
        <f t="shared" si="29"/>
        <v>0</v>
      </c>
      <c r="AN59" s="4">
        <f t="shared" si="30"/>
        <v>0</v>
      </c>
      <c r="AO59" s="4">
        <f t="shared" si="31"/>
        <v>0</v>
      </c>
      <c r="AP59" s="4">
        <f t="shared" si="32"/>
        <v>0</v>
      </c>
      <c r="AQ59" s="4">
        <f t="shared" si="33"/>
        <v>0</v>
      </c>
      <c r="AR59" s="4">
        <f t="shared" si="34"/>
        <v>0</v>
      </c>
      <c r="AS59" s="4">
        <f t="shared" si="35"/>
        <v>0</v>
      </c>
      <c r="AT59" s="4">
        <f t="shared" si="36"/>
        <v>0</v>
      </c>
      <c r="AU59" s="4">
        <f t="shared" si="37"/>
        <v>0</v>
      </c>
      <c r="AV59" s="4">
        <f t="shared" si="38"/>
        <v>0</v>
      </c>
      <c r="AW59" s="4">
        <f t="shared" si="39"/>
        <v>0</v>
      </c>
      <c r="AX59" s="4">
        <f t="shared" si="40"/>
        <v>0</v>
      </c>
      <c r="AY59" s="4">
        <f t="shared" si="41"/>
        <v>0</v>
      </c>
      <c r="AZ59" s="4">
        <f t="shared" si="42"/>
        <v>0</v>
      </c>
      <c r="BA59" s="4">
        <f t="shared" si="43"/>
        <v>0</v>
      </c>
      <c r="BB59" s="4">
        <f t="shared" si="44"/>
        <v>17</v>
      </c>
      <c r="BC59" s="4">
        <f t="shared" si="45"/>
        <v>0</v>
      </c>
      <c r="BD59" s="4">
        <f t="shared" si="46"/>
        <v>0</v>
      </c>
      <c r="BE59" s="4">
        <f t="shared" si="47"/>
        <v>0</v>
      </c>
      <c r="BF59" s="4">
        <f t="shared" si="48"/>
        <v>0</v>
      </c>
    </row>
    <row r="60" spans="1:58">
      <c r="A60" s="4">
        <f>MIN(StopFreqGHz+0.000001,FieldFox!A59+FreqStep)</f>
        <v>26.500001000000001</v>
      </c>
      <c r="B60" s="4">
        <f t="shared" si="18"/>
        <v>-152</v>
      </c>
      <c r="C60" s="4">
        <f t="shared" si="19"/>
        <v>2</v>
      </c>
      <c r="D60" s="4">
        <f t="shared" si="20"/>
        <v>0.33333333333333331</v>
      </c>
      <c r="E60" s="86">
        <f>NseMeas!H60</f>
        <v>438.4470651377784</v>
      </c>
      <c r="F60" s="4">
        <f t="shared" si="21"/>
        <v>4.0000000000000009</v>
      </c>
      <c r="G60" s="4">
        <f t="shared" si="22"/>
        <v>20</v>
      </c>
      <c r="H60" s="88">
        <f>10*LOG10(P1dbBWghz*1000000000*NseMeas!J60/NseMeas!BW)</f>
        <v>-28.652597449359142</v>
      </c>
      <c r="I60" s="4" t="b">
        <f t="shared" si="23"/>
        <v>0</v>
      </c>
      <c r="J60" s="87">
        <f>MAX(NseMeas!T60,K60/1000)</f>
        <v>825664854.90636683</v>
      </c>
      <c r="K60" s="87">
        <f>NseMeas!S60</f>
        <v>1844875354.154526</v>
      </c>
      <c r="L60" s="87">
        <f>NseMeas!X60</f>
        <v>1019210499.2481589</v>
      </c>
      <c r="M60" s="88">
        <f t="shared" si="49"/>
        <v>43.163202203876551</v>
      </c>
      <c r="N60" s="87">
        <f>4*K60*NseMeas!K60*Jitter1H1s/SQRT($BZ$4)</f>
        <v>2.283887131344474</v>
      </c>
      <c r="O60" s="4">
        <f t="shared" si="50"/>
        <v>0.2</v>
      </c>
      <c r="P60" s="4">
        <f t="shared" si="51"/>
        <v>0.1</v>
      </c>
      <c r="Q60" s="86">
        <f>MAX(0.1,P60/(1+(NseMeas!J60*J60/(NseMeas!L60*L60))))</f>
        <v>0.1</v>
      </c>
      <c r="R60" s="86">
        <f>MAX(0.1,P60/(1+((NseMeas!L60*L60)/(NseMeas!J60*J60))))</f>
        <v>0.1</v>
      </c>
      <c r="S60" s="87">
        <f>MAX(Calibration!Q60,T60/1000)</f>
        <v>6.4485344474614736E-2</v>
      </c>
      <c r="T60" s="87">
        <f>Calibration!P60</f>
        <v>1.0644853444746147</v>
      </c>
      <c r="U60" s="87">
        <f>ABS(Calibration!S60)</f>
        <v>1</v>
      </c>
      <c r="V60" s="88">
        <f>T_0*(10^((O60+DashBoard!$N$6)/10)-1)-N60</f>
        <v>48.436403801119091</v>
      </c>
      <c r="W60" s="87">
        <f>4*T60*NseMeas!T60*Jitter1H1s/SQRT($BZ$4)</f>
        <v>1488536.0455197236</v>
      </c>
      <c r="X60" s="4">
        <f t="shared" si="27"/>
        <v>944441210.55747628</v>
      </c>
      <c r="Y60" s="4">
        <f>MIN(DashBoard!$N$5/2, X60/2)</f>
        <v>5.5</v>
      </c>
      <c r="Z60" s="86">
        <f>MAX(0.1,Y60/(1+(Calibration!H60*S60/(Calibration!J60*U60))))</f>
        <v>2.1052992355230069</v>
      </c>
      <c r="AA60" s="86">
        <f>MAX(0.1,Y60/(1+((Calibration!J60*U60)/(Calibration!H60*S60))))</f>
        <v>3.3947007644769931</v>
      </c>
      <c r="AC60" s="4">
        <f t="shared" si="52"/>
        <v>3.3947007644769931</v>
      </c>
      <c r="AD60" s="4">
        <f t="shared" si="53"/>
        <v>5.5</v>
      </c>
      <c r="AE60" s="4">
        <f t="shared" si="54"/>
        <v>2.1052992355230069</v>
      </c>
      <c r="AF60" s="4">
        <f t="shared" si="55"/>
        <v>0.1</v>
      </c>
      <c r="AG60" s="4">
        <f t="shared" si="56"/>
        <v>0.1</v>
      </c>
      <c r="AH60" s="4">
        <f t="shared" si="57"/>
        <v>0.1</v>
      </c>
      <c r="AI60" s="4">
        <f t="shared" si="25"/>
        <v>0.30000000000000004</v>
      </c>
      <c r="AJ60" s="4">
        <f t="shared" si="26"/>
        <v>24.489999999999988</v>
      </c>
      <c r="AK60" s="4">
        <f t="shared" si="28"/>
        <v>17</v>
      </c>
      <c r="AL60" s="4">
        <f t="shared" si="13"/>
        <v>0</v>
      </c>
      <c r="AM60" s="4">
        <f t="shared" si="29"/>
        <v>0</v>
      </c>
      <c r="AN60" s="4">
        <f t="shared" si="30"/>
        <v>0</v>
      </c>
      <c r="AO60" s="4">
        <f t="shared" si="31"/>
        <v>0</v>
      </c>
      <c r="AP60" s="4">
        <f t="shared" si="32"/>
        <v>0</v>
      </c>
      <c r="AQ60" s="4">
        <f t="shared" si="33"/>
        <v>0</v>
      </c>
      <c r="AR60" s="4">
        <f t="shared" si="34"/>
        <v>0</v>
      </c>
      <c r="AS60" s="4">
        <f t="shared" si="35"/>
        <v>0</v>
      </c>
      <c r="AT60" s="4">
        <f t="shared" si="36"/>
        <v>0</v>
      </c>
      <c r="AU60" s="4">
        <f t="shared" si="37"/>
        <v>0</v>
      </c>
      <c r="AV60" s="4">
        <f t="shared" si="38"/>
        <v>0</v>
      </c>
      <c r="AW60" s="4">
        <f t="shared" si="39"/>
        <v>0</v>
      </c>
      <c r="AX60" s="4">
        <f t="shared" si="40"/>
        <v>0</v>
      </c>
      <c r="AY60" s="4">
        <f t="shared" si="41"/>
        <v>0</v>
      </c>
      <c r="AZ60" s="4">
        <f t="shared" si="42"/>
        <v>0</v>
      </c>
      <c r="BA60" s="4">
        <f t="shared" si="43"/>
        <v>0</v>
      </c>
      <c r="BB60" s="4">
        <f t="shared" si="44"/>
        <v>17</v>
      </c>
      <c r="BC60" s="4">
        <f t="shared" si="45"/>
        <v>0</v>
      </c>
      <c r="BD60" s="4">
        <f t="shared" si="46"/>
        <v>0</v>
      </c>
      <c r="BE60" s="4">
        <f t="shared" si="47"/>
        <v>0</v>
      </c>
      <c r="BF60" s="4">
        <f t="shared" si="48"/>
        <v>0</v>
      </c>
    </row>
    <row r="61" spans="1:58">
      <c r="A61" s="4">
        <f>MIN(StopFreqGHz+0.000001,FieldFox!A60+FreqStep)</f>
        <v>26.500001000000001</v>
      </c>
      <c r="B61" s="4">
        <f t="shared" si="18"/>
        <v>-152</v>
      </c>
      <c r="C61" s="4">
        <f t="shared" si="19"/>
        <v>2</v>
      </c>
      <c r="D61" s="4">
        <f t="shared" si="20"/>
        <v>0.33333333333333331</v>
      </c>
      <c r="E61" s="86">
        <f>NseMeas!H61</f>
        <v>438.4470651377784</v>
      </c>
      <c r="F61" s="4">
        <f t="shared" si="21"/>
        <v>4.0000000000000009</v>
      </c>
      <c r="G61" s="4">
        <f t="shared" si="22"/>
        <v>20</v>
      </c>
      <c r="H61" s="88">
        <f>10*LOG10(P1dbBWghz*1000000000*NseMeas!J61/NseMeas!BW)</f>
        <v>-28.652597449359142</v>
      </c>
      <c r="I61" s="4" t="b">
        <f t="shared" si="23"/>
        <v>0</v>
      </c>
      <c r="J61" s="87">
        <f>MAX(NseMeas!T61,K61/1000)</f>
        <v>825664854.90636683</v>
      </c>
      <c r="K61" s="87">
        <f>NseMeas!S61</f>
        <v>1844875354.154526</v>
      </c>
      <c r="L61" s="87">
        <f>NseMeas!X61</f>
        <v>1019210499.2481589</v>
      </c>
      <c r="M61" s="88">
        <f t="shared" si="49"/>
        <v>43.163202203876551</v>
      </c>
      <c r="N61" s="87">
        <f>4*K61*NseMeas!K61*Jitter1H1s/SQRT($BZ$4)</f>
        <v>2.283887131344474</v>
      </c>
      <c r="O61" s="4">
        <f t="shared" si="50"/>
        <v>0.2</v>
      </c>
      <c r="P61" s="4">
        <f t="shared" si="51"/>
        <v>0.1</v>
      </c>
      <c r="Q61" s="86">
        <f>MAX(0.1,P61/(1+(NseMeas!J61*J61/(NseMeas!L61*L61))))</f>
        <v>0.1</v>
      </c>
      <c r="R61" s="86">
        <f>MAX(0.1,P61/(1+((NseMeas!L61*L61)/(NseMeas!J61*J61))))</f>
        <v>0.1</v>
      </c>
      <c r="S61" s="87">
        <f>MAX(Calibration!Q61,T61/1000)</f>
        <v>6.4485344474614736E-2</v>
      </c>
      <c r="T61" s="87">
        <f>Calibration!P61</f>
        <v>1.0644853444746147</v>
      </c>
      <c r="U61" s="87">
        <f>ABS(Calibration!S61)</f>
        <v>1</v>
      </c>
      <c r="V61" s="88">
        <f>T_0*(10^((O61+DashBoard!$N$6)/10)-1)-N61</f>
        <v>48.436403801119091</v>
      </c>
      <c r="W61" s="87">
        <f>4*T61*NseMeas!T61*Jitter1H1s/SQRT($BZ$4)</f>
        <v>1488536.0455197236</v>
      </c>
      <c r="X61" s="4">
        <f t="shared" si="27"/>
        <v>944441210.55747628</v>
      </c>
      <c r="Y61" s="4">
        <f>MIN(DashBoard!$N$5/2, X61/2)</f>
        <v>5.5</v>
      </c>
      <c r="Z61" s="86">
        <f>MAX(0.1,Y61/(1+(Calibration!H61*S61/(Calibration!J61*U61))))</f>
        <v>2.1052992355230069</v>
      </c>
      <c r="AA61" s="86">
        <f>MAX(0.1,Y61/(1+((Calibration!J61*U61)/(Calibration!H61*S61))))</f>
        <v>3.3947007644769931</v>
      </c>
      <c r="AC61" s="4">
        <f t="shared" si="52"/>
        <v>3.3947007644769931</v>
      </c>
      <c r="AD61" s="4">
        <f t="shared" si="53"/>
        <v>5.5</v>
      </c>
      <c r="AE61" s="4">
        <f t="shared" si="54"/>
        <v>2.1052992355230069</v>
      </c>
      <c r="AF61" s="4">
        <f t="shared" si="55"/>
        <v>0.1</v>
      </c>
      <c r="AG61" s="4">
        <f t="shared" si="56"/>
        <v>0.1</v>
      </c>
      <c r="AH61" s="4">
        <f t="shared" si="57"/>
        <v>0.1</v>
      </c>
      <c r="AI61" s="4">
        <f t="shared" si="25"/>
        <v>0.30000000000000004</v>
      </c>
      <c r="AJ61" s="4">
        <f t="shared" si="26"/>
        <v>24.489999999999988</v>
      </c>
      <c r="AK61" s="4">
        <f t="shared" si="28"/>
        <v>17</v>
      </c>
      <c r="AL61" s="4">
        <f t="shared" si="13"/>
        <v>0</v>
      </c>
      <c r="AM61" s="4">
        <f t="shared" si="29"/>
        <v>0</v>
      </c>
      <c r="AN61" s="4">
        <f t="shared" si="30"/>
        <v>0</v>
      </c>
      <c r="AO61" s="4">
        <f t="shared" si="31"/>
        <v>0</v>
      </c>
      <c r="AP61" s="4">
        <f t="shared" si="32"/>
        <v>0</v>
      </c>
      <c r="AQ61" s="4">
        <f t="shared" si="33"/>
        <v>0</v>
      </c>
      <c r="AR61" s="4">
        <f t="shared" si="34"/>
        <v>0</v>
      </c>
      <c r="AS61" s="4">
        <f t="shared" si="35"/>
        <v>0</v>
      </c>
      <c r="AT61" s="4">
        <f t="shared" si="36"/>
        <v>0</v>
      </c>
      <c r="AU61" s="4">
        <f t="shared" si="37"/>
        <v>0</v>
      </c>
      <c r="AV61" s="4">
        <f t="shared" si="38"/>
        <v>0</v>
      </c>
      <c r="AW61" s="4">
        <f t="shared" si="39"/>
        <v>0</v>
      </c>
      <c r="AX61" s="4">
        <f t="shared" si="40"/>
        <v>0</v>
      </c>
      <c r="AY61" s="4">
        <f t="shared" si="41"/>
        <v>0</v>
      </c>
      <c r="AZ61" s="4">
        <f t="shared" si="42"/>
        <v>0</v>
      </c>
      <c r="BA61" s="4">
        <f t="shared" si="43"/>
        <v>0</v>
      </c>
      <c r="BB61" s="4">
        <f t="shared" si="44"/>
        <v>17</v>
      </c>
      <c r="BC61" s="4">
        <f t="shared" si="45"/>
        <v>0</v>
      </c>
      <c r="BD61" s="4">
        <f t="shared" si="46"/>
        <v>0</v>
      </c>
      <c r="BE61" s="4">
        <f t="shared" si="47"/>
        <v>0</v>
      </c>
      <c r="BF61" s="4">
        <f t="shared" si="48"/>
        <v>0</v>
      </c>
    </row>
    <row r="62" spans="1:58">
      <c r="A62" s="4">
        <f>MIN(StopFreqGHz+0.000001,FieldFox!A61+FreqStep)</f>
        <v>26.500001000000001</v>
      </c>
      <c r="B62" s="4">
        <f t="shared" si="18"/>
        <v>-152</v>
      </c>
      <c r="C62" s="4">
        <f t="shared" si="19"/>
        <v>2</v>
      </c>
      <c r="D62" s="4">
        <f t="shared" si="20"/>
        <v>0.33333333333333331</v>
      </c>
      <c r="E62" s="86">
        <f>NseMeas!H62</f>
        <v>438.4470651377784</v>
      </c>
      <c r="F62" s="4">
        <f t="shared" si="21"/>
        <v>4.0000000000000009</v>
      </c>
      <c r="G62" s="4">
        <f t="shared" si="22"/>
        <v>20</v>
      </c>
      <c r="H62" s="88">
        <f>10*LOG10(P1dbBWghz*1000000000*NseMeas!J62/NseMeas!BW)</f>
        <v>-28.652597449359142</v>
      </c>
      <c r="I62" s="4" t="b">
        <f t="shared" si="23"/>
        <v>0</v>
      </c>
      <c r="J62" s="87">
        <f>MAX(NseMeas!T62,K62/1000)</f>
        <v>825664854.90636683</v>
      </c>
      <c r="K62" s="87">
        <f>NseMeas!S62</f>
        <v>1844875354.154526</v>
      </c>
      <c r="L62" s="87">
        <f>NseMeas!X62</f>
        <v>1019210499.2481589</v>
      </c>
      <c r="M62" s="88">
        <f t="shared" si="49"/>
        <v>43.163202203876551</v>
      </c>
      <c r="N62" s="87">
        <f>4*K62*NseMeas!K62*Jitter1H1s/SQRT($BZ$4)</f>
        <v>2.283887131344474</v>
      </c>
      <c r="O62" s="4">
        <f t="shared" si="50"/>
        <v>0.2</v>
      </c>
      <c r="P62" s="4">
        <f t="shared" si="51"/>
        <v>0.1</v>
      </c>
      <c r="Q62" s="86">
        <f>MAX(0.1,P62/(1+(NseMeas!J62*J62/(NseMeas!L62*L62))))</f>
        <v>0.1</v>
      </c>
      <c r="R62" s="86">
        <f>MAX(0.1,P62/(1+((NseMeas!L62*L62)/(NseMeas!J62*J62))))</f>
        <v>0.1</v>
      </c>
      <c r="S62" s="87">
        <f>MAX(Calibration!Q62,T62/1000)</f>
        <v>6.4485344474614736E-2</v>
      </c>
      <c r="T62" s="87">
        <f>Calibration!P62</f>
        <v>1.0644853444746147</v>
      </c>
      <c r="U62" s="87">
        <f>ABS(Calibration!S62)</f>
        <v>1</v>
      </c>
      <c r="V62" s="88">
        <f>T_0*(10^((O62+DashBoard!$N$6)/10)-1)-N62</f>
        <v>48.436403801119091</v>
      </c>
      <c r="W62" s="87">
        <f>4*T62*NseMeas!T62*Jitter1H1s/SQRT($BZ$4)</f>
        <v>1488536.0455197236</v>
      </c>
      <c r="X62" s="4">
        <f t="shared" si="27"/>
        <v>944441210.55747628</v>
      </c>
      <c r="Y62" s="4">
        <f>MIN(DashBoard!$N$5/2, X62/2)</f>
        <v>5.5</v>
      </c>
      <c r="Z62" s="86">
        <f>MAX(0.1,Y62/(1+(Calibration!H62*S62/(Calibration!J62*U62))))</f>
        <v>2.1052992355230069</v>
      </c>
      <c r="AA62" s="86">
        <f>MAX(0.1,Y62/(1+((Calibration!J62*U62)/(Calibration!H62*S62))))</f>
        <v>3.3947007644769931</v>
      </c>
      <c r="AC62" s="4">
        <f t="shared" si="52"/>
        <v>3.3947007644769931</v>
      </c>
      <c r="AD62" s="4">
        <f t="shared" si="53"/>
        <v>5.5</v>
      </c>
      <c r="AE62" s="4">
        <f t="shared" si="54"/>
        <v>2.1052992355230069</v>
      </c>
      <c r="AF62" s="4">
        <f t="shared" si="55"/>
        <v>0.1</v>
      </c>
      <c r="AG62" s="4">
        <f t="shared" si="56"/>
        <v>0.1</v>
      </c>
      <c r="AH62" s="4">
        <f t="shared" si="57"/>
        <v>0.1</v>
      </c>
      <c r="AI62" s="4">
        <f t="shared" si="25"/>
        <v>0.30000000000000004</v>
      </c>
      <c r="AJ62" s="4">
        <f t="shared" si="26"/>
        <v>24.489999999999988</v>
      </c>
      <c r="AK62" s="4">
        <f t="shared" si="28"/>
        <v>17</v>
      </c>
      <c r="AL62" s="4">
        <f t="shared" si="13"/>
        <v>0</v>
      </c>
      <c r="AM62" s="4">
        <f t="shared" si="29"/>
        <v>0</v>
      </c>
      <c r="AN62" s="4">
        <f t="shared" si="30"/>
        <v>0</v>
      </c>
      <c r="AO62" s="4">
        <f t="shared" si="31"/>
        <v>0</v>
      </c>
      <c r="AP62" s="4">
        <f t="shared" si="32"/>
        <v>0</v>
      </c>
      <c r="AQ62" s="4">
        <f t="shared" si="33"/>
        <v>0</v>
      </c>
      <c r="AR62" s="4">
        <f t="shared" si="34"/>
        <v>0</v>
      </c>
      <c r="AS62" s="4">
        <f t="shared" si="35"/>
        <v>0</v>
      </c>
      <c r="AT62" s="4">
        <f t="shared" si="36"/>
        <v>0</v>
      </c>
      <c r="AU62" s="4">
        <f t="shared" si="37"/>
        <v>0</v>
      </c>
      <c r="AV62" s="4">
        <f t="shared" si="38"/>
        <v>0</v>
      </c>
      <c r="AW62" s="4">
        <f t="shared" si="39"/>
        <v>0</v>
      </c>
      <c r="AX62" s="4">
        <f t="shared" si="40"/>
        <v>0</v>
      </c>
      <c r="AY62" s="4">
        <f t="shared" si="41"/>
        <v>0</v>
      </c>
      <c r="AZ62" s="4">
        <f t="shared" si="42"/>
        <v>0</v>
      </c>
      <c r="BA62" s="4">
        <f t="shared" si="43"/>
        <v>0</v>
      </c>
      <c r="BB62" s="4">
        <f t="shared" si="44"/>
        <v>17</v>
      </c>
      <c r="BC62" s="4">
        <f t="shared" si="45"/>
        <v>0</v>
      </c>
      <c r="BD62" s="4">
        <f t="shared" si="46"/>
        <v>0</v>
      </c>
      <c r="BE62" s="4">
        <f t="shared" si="47"/>
        <v>0</v>
      </c>
      <c r="BF62" s="4">
        <f t="shared" si="48"/>
        <v>0</v>
      </c>
    </row>
    <row r="63" spans="1:58">
      <c r="A63" s="4">
        <f>MIN(StopFreqGHz+0.000001,FieldFox!A62+FreqStep)</f>
        <v>26.500001000000001</v>
      </c>
      <c r="B63" s="4">
        <f t="shared" si="18"/>
        <v>-152</v>
      </c>
      <c r="C63" s="4">
        <f t="shared" si="19"/>
        <v>2</v>
      </c>
      <c r="D63" s="4">
        <f t="shared" si="20"/>
        <v>0.33333333333333331</v>
      </c>
      <c r="E63" s="86">
        <f>NseMeas!H63</f>
        <v>438.4470651377784</v>
      </c>
      <c r="F63" s="4">
        <f t="shared" si="21"/>
        <v>4.0000000000000009</v>
      </c>
      <c r="G63" s="4">
        <f t="shared" si="22"/>
        <v>20</v>
      </c>
      <c r="H63" s="88">
        <f>10*LOG10(P1dbBWghz*1000000000*NseMeas!J63/NseMeas!BW)</f>
        <v>-28.652597449359142</v>
      </c>
      <c r="I63" s="4" t="b">
        <f t="shared" si="23"/>
        <v>0</v>
      </c>
      <c r="J63" s="87">
        <f>MAX(NseMeas!T63,K63/1000)</f>
        <v>825664854.90636683</v>
      </c>
      <c r="K63" s="87">
        <f>NseMeas!S63</f>
        <v>1844875354.154526</v>
      </c>
      <c r="L63" s="87">
        <f>NseMeas!X63</f>
        <v>1019210499.2481589</v>
      </c>
      <c r="M63" s="88">
        <f t="shared" si="49"/>
        <v>43.163202203876551</v>
      </c>
      <c r="N63" s="87">
        <f>4*K63*NseMeas!K63*Jitter1H1s/SQRT($BZ$4)</f>
        <v>2.283887131344474</v>
      </c>
      <c r="O63" s="4">
        <f t="shared" si="50"/>
        <v>0.2</v>
      </c>
      <c r="P63" s="4">
        <f t="shared" si="51"/>
        <v>0.1</v>
      </c>
      <c r="Q63" s="86">
        <f>MAX(0.1,P63/(1+(NseMeas!J63*J63/(NseMeas!L63*L63))))</f>
        <v>0.1</v>
      </c>
      <c r="R63" s="86">
        <f>MAX(0.1,P63/(1+((NseMeas!L63*L63)/(NseMeas!J63*J63))))</f>
        <v>0.1</v>
      </c>
      <c r="S63" s="87">
        <f>MAX(Calibration!Q63,T63/1000)</f>
        <v>6.4485344474614736E-2</v>
      </c>
      <c r="T63" s="87">
        <f>Calibration!P63</f>
        <v>1.0644853444746147</v>
      </c>
      <c r="U63" s="87">
        <f>ABS(Calibration!S63)</f>
        <v>1</v>
      </c>
      <c r="V63" s="88">
        <f>T_0*(10^((O63+DashBoard!$N$6)/10)-1)-N63</f>
        <v>48.436403801119091</v>
      </c>
      <c r="W63" s="87">
        <f>4*T63*NseMeas!T63*Jitter1H1s/SQRT($BZ$4)</f>
        <v>1488536.0455197236</v>
      </c>
      <c r="X63" s="4">
        <f t="shared" si="27"/>
        <v>944441210.55747628</v>
      </c>
      <c r="Y63" s="4">
        <f>MIN(DashBoard!$N$5/2, X63/2)</f>
        <v>5.5</v>
      </c>
      <c r="Z63" s="86">
        <f>MAX(0.1,Y63/(1+(Calibration!H63*S63/(Calibration!J63*U63))))</f>
        <v>2.1052992355230069</v>
      </c>
      <c r="AA63" s="86">
        <f>MAX(0.1,Y63/(1+((Calibration!J63*U63)/(Calibration!H63*S63))))</f>
        <v>3.3947007644769931</v>
      </c>
      <c r="AC63" s="4">
        <f t="shared" si="52"/>
        <v>3.3947007644769931</v>
      </c>
      <c r="AD63" s="4">
        <f t="shared" si="53"/>
        <v>5.5</v>
      </c>
      <c r="AE63" s="4">
        <f t="shared" si="54"/>
        <v>2.1052992355230069</v>
      </c>
      <c r="AF63" s="4">
        <f t="shared" si="55"/>
        <v>0.1</v>
      </c>
      <c r="AG63" s="4">
        <f t="shared" si="56"/>
        <v>0.1</v>
      </c>
      <c r="AH63" s="4">
        <f t="shared" si="57"/>
        <v>0.1</v>
      </c>
      <c r="AI63" s="4">
        <f t="shared" si="25"/>
        <v>0.30000000000000004</v>
      </c>
      <c r="AJ63" s="4">
        <f t="shared" si="26"/>
        <v>24.489999999999988</v>
      </c>
      <c r="AK63" s="4">
        <f t="shared" si="28"/>
        <v>17</v>
      </c>
      <c r="AL63" s="4">
        <f t="shared" si="13"/>
        <v>0</v>
      </c>
      <c r="AM63" s="4">
        <f t="shared" si="29"/>
        <v>0</v>
      </c>
      <c r="AN63" s="4">
        <f t="shared" si="30"/>
        <v>0</v>
      </c>
      <c r="AO63" s="4">
        <f t="shared" si="31"/>
        <v>0</v>
      </c>
      <c r="AP63" s="4">
        <f t="shared" si="32"/>
        <v>0</v>
      </c>
      <c r="AQ63" s="4">
        <f t="shared" si="33"/>
        <v>0</v>
      </c>
      <c r="AR63" s="4">
        <f t="shared" si="34"/>
        <v>0</v>
      </c>
      <c r="AS63" s="4">
        <f t="shared" si="35"/>
        <v>0</v>
      </c>
      <c r="AT63" s="4">
        <f t="shared" si="36"/>
        <v>0</v>
      </c>
      <c r="AU63" s="4">
        <f t="shared" si="37"/>
        <v>0</v>
      </c>
      <c r="AV63" s="4">
        <f t="shared" si="38"/>
        <v>0</v>
      </c>
      <c r="AW63" s="4">
        <f t="shared" si="39"/>
        <v>0</v>
      </c>
      <c r="AX63" s="4">
        <f t="shared" si="40"/>
        <v>0</v>
      </c>
      <c r="AY63" s="4">
        <f t="shared" si="41"/>
        <v>0</v>
      </c>
      <c r="AZ63" s="4">
        <f t="shared" si="42"/>
        <v>0</v>
      </c>
      <c r="BA63" s="4">
        <f t="shared" si="43"/>
        <v>0</v>
      </c>
      <c r="BB63" s="4">
        <f t="shared" si="44"/>
        <v>17</v>
      </c>
      <c r="BC63" s="4">
        <f t="shared" si="45"/>
        <v>0</v>
      </c>
      <c r="BD63" s="4">
        <f t="shared" si="46"/>
        <v>0</v>
      </c>
      <c r="BE63" s="4">
        <f t="shared" si="47"/>
        <v>0</v>
      </c>
      <c r="BF63" s="4">
        <f t="shared" si="48"/>
        <v>0</v>
      </c>
    </row>
    <row r="64" spans="1:58">
      <c r="A64" s="4">
        <f>MIN(StopFreqGHz+0.000001,FieldFox!A63+FreqStep)</f>
        <v>26.500001000000001</v>
      </c>
      <c r="B64" s="4">
        <f t="shared" si="18"/>
        <v>-152</v>
      </c>
      <c r="C64" s="4">
        <f t="shared" si="19"/>
        <v>2</v>
      </c>
      <c r="D64" s="4">
        <f t="shared" si="20"/>
        <v>0.33333333333333331</v>
      </c>
      <c r="E64" s="86">
        <f>NseMeas!H64</f>
        <v>438.4470651377784</v>
      </c>
      <c r="F64" s="4">
        <f t="shared" si="21"/>
        <v>4.0000000000000009</v>
      </c>
      <c r="G64" s="4">
        <f t="shared" si="22"/>
        <v>20</v>
      </c>
      <c r="H64" s="88">
        <f>10*LOG10(P1dbBWghz*1000000000*NseMeas!J64/NseMeas!BW)</f>
        <v>-28.652597449359142</v>
      </c>
      <c r="I64" s="4" t="b">
        <f t="shared" si="23"/>
        <v>0</v>
      </c>
      <c r="J64" s="87">
        <f>MAX(NseMeas!T64,K64/1000)</f>
        <v>825664854.90636683</v>
      </c>
      <c r="K64" s="87">
        <f>NseMeas!S64</f>
        <v>1844875354.154526</v>
      </c>
      <c r="L64" s="87">
        <f>NseMeas!X64</f>
        <v>1019210499.2481589</v>
      </c>
      <c r="M64" s="88">
        <f t="shared" si="49"/>
        <v>43.163202203876551</v>
      </c>
      <c r="N64" s="87">
        <f>4*K64*NseMeas!K64*Jitter1H1s/SQRT($BZ$4)</f>
        <v>2.283887131344474</v>
      </c>
      <c r="O64" s="4">
        <f t="shared" si="50"/>
        <v>0.2</v>
      </c>
      <c r="P64" s="4">
        <f t="shared" si="51"/>
        <v>0.1</v>
      </c>
      <c r="Q64" s="86">
        <f>MAX(0.1,P64/(1+(NseMeas!J64*J64/(NseMeas!L64*L64))))</f>
        <v>0.1</v>
      </c>
      <c r="R64" s="86">
        <f>MAX(0.1,P64/(1+((NseMeas!L64*L64)/(NseMeas!J64*J64))))</f>
        <v>0.1</v>
      </c>
      <c r="S64" s="87">
        <f>MAX(Calibration!Q64,T64/1000)</f>
        <v>6.4485344474614736E-2</v>
      </c>
      <c r="T64" s="87">
        <f>Calibration!P64</f>
        <v>1.0644853444746147</v>
      </c>
      <c r="U64" s="87">
        <f>ABS(Calibration!S64)</f>
        <v>1</v>
      </c>
      <c r="V64" s="88">
        <f>T_0*(10^((O64+DashBoard!$N$6)/10)-1)-N64</f>
        <v>48.436403801119091</v>
      </c>
      <c r="W64" s="87">
        <f>4*T64*NseMeas!T64*Jitter1H1s/SQRT($BZ$4)</f>
        <v>1488536.0455197236</v>
      </c>
      <c r="X64" s="4">
        <f t="shared" si="27"/>
        <v>944441210.55747628</v>
      </c>
      <c r="Y64" s="4">
        <f>MIN(DashBoard!$N$5/2, X64/2)</f>
        <v>5.5</v>
      </c>
      <c r="Z64" s="86">
        <f>MAX(0.1,Y64/(1+(Calibration!H64*S64/(Calibration!J64*U64))))</f>
        <v>2.1052992355230069</v>
      </c>
      <c r="AA64" s="86">
        <f>MAX(0.1,Y64/(1+((Calibration!J64*U64)/(Calibration!H64*S64))))</f>
        <v>3.3947007644769931</v>
      </c>
      <c r="AC64" s="4">
        <f t="shared" si="52"/>
        <v>3.3947007644769931</v>
      </c>
      <c r="AD64" s="4">
        <f t="shared" si="53"/>
        <v>5.5</v>
      </c>
      <c r="AE64" s="4">
        <f t="shared" si="54"/>
        <v>2.1052992355230069</v>
      </c>
      <c r="AF64" s="4">
        <f t="shared" si="55"/>
        <v>0.1</v>
      </c>
      <c r="AG64" s="4">
        <f t="shared" si="56"/>
        <v>0.1</v>
      </c>
      <c r="AH64" s="4">
        <f t="shared" si="57"/>
        <v>0.1</v>
      </c>
      <c r="AI64" s="4">
        <f t="shared" si="25"/>
        <v>0.30000000000000004</v>
      </c>
      <c r="AJ64" s="4">
        <f t="shared" si="26"/>
        <v>24.489999999999988</v>
      </c>
      <c r="AK64" s="4">
        <f t="shared" si="28"/>
        <v>17</v>
      </c>
      <c r="AL64" s="4">
        <f t="shared" si="13"/>
        <v>0</v>
      </c>
      <c r="AM64" s="4">
        <f t="shared" si="29"/>
        <v>0</v>
      </c>
      <c r="AN64" s="4">
        <f t="shared" si="30"/>
        <v>0</v>
      </c>
      <c r="AO64" s="4">
        <f t="shared" si="31"/>
        <v>0</v>
      </c>
      <c r="AP64" s="4">
        <f t="shared" si="32"/>
        <v>0</v>
      </c>
      <c r="AQ64" s="4">
        <f t="shared" si="33"/>
        <v>0</v>
      </c>
      <c r="AR64" s="4">
        <f t="shared" si="34"/>
        <v>0</v>
      </c>
      <c r="AS64" s="4">
        <f t="shared" si="35"/>
        <v>0</v>
      </c>
      <c r="AT64" s="4">
        <f t="shared" si="36"/>
        <v>0</v>
      </c>
      <c r="AU64" s="4">
        <f t="shared" si="37"/>
        <v>0</v>
      </c>
      <c r="AV64" s="4">
        <f t="shared" si="38"/>
        <v>0</v>
      </c>
      <c r="AW64" s="4">
        <f t="shared" si="39"/>
        <v>0</v>
      </c>
      <c r="AX64" s="4">
        <f t="shared" si="40"/>
        <v>0</v>
      </c>
      <c r="AY64" s="4">
        <f t="shared" si="41"/>
        <v>0</v>
      </c>
      <c r="AZ64" s="4">
        <f t="shared" si="42"/>
        <v>0</v>
      </c>
      <c r="BA64" s="4">
        <f t="shared" si="43"/>
        <v>0</v>
      </c>
      <c r="BB64" s="4">
        <f t="shared" si="44"/>
        <v>17</v>
      </c>
      <c r="BC64" s="4">
        <f t="shared" si="45"/>
        <v>0</v>
      </c>
      <c r="BD64" s="4">
        <f t="shared" si="46"/>
        <v>0</v>
      </c>
      <c r="BE64" s="4">
        <f t="shared" si="47"/>
        <v>0</v>
      </c>
      <c r="BF64" s="4">
        <f t="shared" si="48"/>
        <v>0</v>
      </c>
    </row>
    <row r="65" spans="1:58">
      <c r="A65" s="4">
        <f>MIN(StopFreqGHz+0.000001,FieldFox!A64+FreqStep)</f>
        <v>26.500001000000001</v>
      </c>
      <c r="B65" s="4">
        <f t="shared" si="18"/>
        <v>-152</v>
      </c>
      <c r="C65" s="4">
        <f t="shared" si="19"/>
        <v>2</v>
      </c>
      <c r="D65" s="4">
        <f t="shared" si="20"/>
        <v>0.33333333333333331</v>
      </c>
      <c r="E65" s="86">
        <f>NseMeas!H65</f>
        <v>438.4470651377784</v>
      </c>
      <c r="F65" s="4">
        <f t="shared" si="21"/>
        <v>4.0000000000000009</v>
      </c>
      <c r="G65" s="4">
        <f t="shared" si="22"/>
        <v>20</v>
      </c>
      <c r="H65" s="88">
        <f>10*LOG10(P1dbBWghz*1000000000*NseMeas!J65/NseMeas!BW)</f>
        <v>-28.652597449359142</v>
      </c>
      <c r="I65" s="4" t="b">
        <f t="shared" si="23"/>
        <v>0</v>
      </c>
      <c r="J65" s="87">
        <f>MAX(NseMeas!T65,K65/1000)</f>
        <v>825664854.90636683</v>
      </c>
      <c r="K65" s="87">
        <f>NseMeas!S65</f>
        <v>1844875354.154526</v>
      </c>
      <c r="L65" s="87">
        <f>NseMeas!X65</f>
        <v>1019210499.2481589</v>
      </c>
      <c r="M65" s="88">
        <f t="shared" si="49"/>
        <v>43.163202203876551</v>
      </c>
      <c r="N65" s="87">
        <f>4*K65*NseMeas!K65*Jitter1H1s/SQRT($BZ$4)</f>
        <v>2.283887131344474</v>
      </c>
      <c r="O65" s="4">
        <f t="shared" si="50"/>
        <v>0.2</v>
      </c>
      <c r="P65" s="4">
        <f t="shared" si="51"/>
        <v>0.1</v>
      </c>
      <c r="Q65" s="86">
        <f>MAX(0.1,P65/(1+(NseMeas!J65*J65/(NseMeas!L65*L65))))</f>
        <v>0.1</v>
      </c>
      <c r="R65" s="86">
        <f>MAX(0.1,P65/(1+((NseMeas!L65*L65)/(NseMeas!J65*J65))))</f>
        <v>0.1</v>
      </c>
      <c r="S65" s="87">
        <f>MAX(Calibration!Q65,T65/1000)</f>
        <v>6.4485344474614736E-2</v>
      </c>
      <c r="T65" s="87">
        <f>Calibration!P65</f>
        <v>1.0644853444746147</v>
      </c>
      <c r="U65" s="87">
        <f>ABS(Calibration!S65)</f>
        <v>1</v>
      </c>
      <c r="V65" s="88">
        <f>T_0*(10^((O65+DashBoard!$N$6)/10)-1)-N65</f>
        <v>48.436403801119091</v>
      </c>
      <c r="W65" s="87">
        <f>4*T65*NseMeas!T65*Jitter1H1s/SQRT($BZ$4)</f>
        <v>1488536.0455197236</v>
      </c>
      <c r="X65" s="4">
        <f t="shared" si="27"/>
        <v>944441210.55747628</v>
      </c>
      <c r="Y65" s="4">
        <f>MIN(DashBoard!$N$5/2, X65/2)</f>
        <v>5.5</v>
      </c>
      <c r="Z65" s="86">
        <f>MAX(0.1,Y65/(1+(Calibration!H65*S65/(Calibration!J65*U65))))</f>
        <v>2.1052992355230069</v>
      </c>
      <c r="AA65" s="86">
        <f>MAX(0.1,Y65/(1+((Calibration!J65*U65)/(Calibration!H65*S65))))</f>
        <v>3.3947007644769931</v>
      </c>
      <c r="AC65" s="4">
        <f t="shared" si="52"/>
        <v>3.3947007644769931</v>
      </c>
      <c r="AD65" s="4">
        <f t="shared" si="53"/>
        <v>5.5</v>
      </c>
      <c r="AE65" s="4">
        <f t="shared" si="54"/>
        <v>2.1052992355230069</v>
      </c>
      <c r="AF65" s="4">
        <f t="shared" si="55"/>
        <v>0.1</v>
      </c>
      <c r="AG65" s="4">
        <f t="shared" si="56"/>
        <v>0.1</v>
      </c>
      <c r="AH65" s="4">
        <f t="shared" si="57"/>
        <v>0.1</v>
      </c>
      <c r="AI65" s="4">
        <f t="shared" si="25"/>
        <v>0.30000000000000004</v>
      </c>
      <c r="AJ65" s="4">
        <f t="shared" si="26"/>
        <v>24.489999999999988</v>
      </c>
      <c r="AK65" s="4">
        <f t="shared" si="28"/>
        <v>17</v>
      </c>
      <c r="AL65" s="4">
        <f t="shared" si="13"/>
        <v>0</v>
      </c>
      <c r="AM65" s="4">
        <f t="shared" si="29"/>
        <v>0</v>
      </c>
      <c r="AN65" s="4">
        <f t="shared" si="30"/>
        <v>0</v>
      </c>
      <c r="AO65" s="4">
        <f t="shared" si="31"/>
        <v>0</v>
      </c>
      <c r="AP65" s="4">
        <f t="shared" si="32"/>
        <v>0</v>
      </c>
      <c r="AQ65" s="4">
        <f t="shared" si="33"/>
        <v>0</v>
      </c>
      <c r="AR65" s="4">
        <f t="shared" si="34"/>
        <v>0</v>
      </c>
      <c r="AS65" s="4">
        <f t="shared" si="35"/>
        <v>0</v>
      </c>
      <c r="AT65" s="4">
        <f t="shared" si="36"/>
        <v>0</v>
      </c>
      <c r="AU65" s="4">
        <f t="shared" si="37"/>
        <v>0</v>
      </c>
      <c r="AV65" s="4">
        <f t="shared" si="38"/>
        <v>0</v>
      </c>
      <c r="AW65" s="4">
        <f t="shared" si="39"/>
        <v>0</v>
      </c>
      <c r="AX65" s="4">
        <f t="shared" si="40"/>
        <v>0</v>
      </c>
      <c r="AY65" s="4">
        <f t="shared" si="41"/>
        <v>0</v>
      </c>
      <c r="AZ65" s="4">
        <f t="shared" si="42"/>
        <v>0</v>
      </c>
      <c r="BA65" s="4">
        <f t="shared" si="43"/>
        <v>0</v>
      </c>
      <c r="BB65" s="4">
        <f t="shared" si="44"/>
        <v>17</v>
      </c>
      <c r="BC65" s="4">
        <f t="shared" si="45"/>
        <v>0</v>
      </c>
      <c r="BD65" s="4">
        <f t="shared" si="46"/>
        <v>0</v>
      </c>
      <c r="BE65" s="4">
        <f t="shared" si="47"/>
        <v>0</v>
      </c>
      <c r="BF65" s="4">
        <f t="shared" si="48"/>
        <v>0</v>
      </c>
    </row>
    <row r="66" spans="1:58">
      <c r="A66" s="4">
        <f>MIN(StopFreqGHz+0.000001,FieldFox!A65+FreqStep)</f>
        <v>26.500001000000001</v>
      </c>
      <c r="B66" s="4">
        <f t="shared" si="18"/>
        <v>-152</v>
      </c>
      <c r="C66" s="4">
        <f t="shared" si="19"/>
        <v>2</v>
      </c>
      <c r="D66" s="4">
        <f t="shared" si="20"/>
        <v>0.33333333333333331</v>
      </c>
      <c r="E66" s="86">
        <f>NseMeas!H66</f>
        <v>438.4470651377784</v>
      </c>
      <c r="F66" s="4">
        <f t="shared" si="21"/>
        <v>4.0000000000000009</v>
      </c>
      <c r="G66" s="4">
        <f t="shared" si="22"/>
        <v>20</v>
      </c>
      <c r="H66" s="88">
        <f>10*LOG10(P1dbBWghz*1000000000*NseMeas!J66/NseMeas!BW)</f>
        <v>-28.652597449359142</v>
      </c>
      <c r="I66" s="4" t="b">
        <f t="shared" si="23"/>
        <v>0</v>
      </c>
      <c r="J66" s="87">
        <f>MAX(NseMeas!T66,K66/1000)</f>
        <v>825664854.90636683</v>
      </c>
      <c r="K66" s="87">
        <f>NseMeas!S66</f>
        <v>1844875354.154526</v>
      </c>
      <c r="L66" s="87">
        <f>NseMeas!X66</f>
        <v>1019210499.2481589</v>
      </c>
      <c r="M66" s="88">
        <f t="shared" si="49"/>
        <v>43.163202203876551</v>
      </c>
      <c r="N66" s="87">
        <f>4*K66*NseMeas!K66*Jitter1H1s/SQRT($BZ$4)</f>
        <v>2.283887131344474</v>
      </c>
      <c r="O66" s="4">
        <f t="shared" si="50"/>
        <v>0.2</v>
      </c>
      <c r="P66" s="4">
        <f t="shared" si="51"/>
        <v>0.1</v>
      </c>
      <c r="Q66" s="86">
        <f>MAX(0.1,P66/(1+(NseMeas!J66*J66/(NseMeas!L66*L66))))</f>
        <v>0.1</v>
      </c>
      <c r="R66" s="86">
        <f>MAX(0.1,P66/(1+((NseMeas!L66*L66)/(NseMeas!J66*J66))))</f>
        <v>0.1</v>
      </c>
      <c r="S66" s="87">
        <f>MAX(Calibration!Q66,T66/1000)</f>
        <v>6.4485344474614736E-2</v>
      </c>
      <c r="T66" s="87">
        <f>Calibration!P66</f>
        <v>1.0644853444746147</v>
      </c>
      <c r="U66" s="87">
        <f>ABS(Calibration!S66)</f>
        <v>1</v>
      </c>
      <c r="V66" s="88">
        <f>T_0*(10^((O66+DashBoard!$N$6)/10)-1)-N66</f>
        <v>48.436403801119091</v>
      </c>
      <c r="W66" s="87">
        <f>4*T66*NseMeas!T66*Jitter1H1s/SQRT($BZ$4)</f>
        <v>1488536.0455197236</v>
      </c>
      <c r="X66" s="4">
        <f t="shared" si="27"/>
        <v>944441210.55747628</v>
      </c>
      <c r="Y66" s="4">
        <f>MIN(DashBoard!$N$5/2, X66/2)</f>
        <v>5.5</v>
      </c>
      <c r="Z66" s="86">
        <f>MAX(0.1,Y66/(1+(Calibration!H66*S66/(Calibration!J66*U66))))</f>
        <v>2.1052992355230069</v>
      </c>
      <c r="AA66" s="86">
        <f>MAX(0.1,Y66/(1+((Calibration!J66*U66)/(Calibration!H66*S66))))</f>
        <v>3.3947007644769931</v>
      </c>
      <c r="AC66" s="4">
        <f t="shared" si="52"/>
        <v>3.3947007644769931</v>
      </c>
      <c r="AD66" s="4">
        <f t="shared" si="53"/>
        <v>5.5</v>
      </c>
      <c r="AE66" s="4">
        <f t="shared" si="54"/>
        <v>2.1052992355230069</v>
      </c>
      <c r="AF66" s="4">
        <f t="shared" si="55"/>
        <v>0.1</v>
      </c>
      <c r="AG66" s="4">
        <f t="shared" si="56"/>
        <v>0.1</v>
      </c>
      <c r="AH66" s="4">
        <f t="shared" si="57"/>
        <v>0.1</v>
      </c>
      <c r="AI66" s="4">
        <f t="shared" si="25"/>
        <v>0.30000000000000004</v>
      </c>
      <c r="AJ66" s="4">
        <f t="shared" si="26"/>
        <v>24.489999999999988</v>
      </c>
      <c r="AK66" s="4">
        <f t="shared" si="28"/>
        <v>17</v>
      </c>
      <c r="AL66" s="4">
        <f t="shared" si="13"/>
        <v>0</v>
      </c>
      <c r="AM66" s="4">
        <f t="shared" si="29"/>
        <v>0</v>
      </c>
      <c r="AN66" s="4">
        <f t="shared" si="30"/>
        <v>0</v>
      </c>
      <c r="AO66" s="4">
        <f t="shared" si="31"/>
        <v>0</v>
      </c>
      <c r="AP66" s="4">
        <f t="shared" si="32"/>
        <v>0</v>
      </c>
      <c r="AQ66" s="4">
        <f t="shared" si="33"/>
        <v>0</v>
      </c>
      <c r="AR66" s="4">
        <f t="shared" si="34"/>
        <v>0</v>
      </c>
      <c r="AS66" s="4">
        <f t="shared" si="35"/>
        <v>0</v>
      </c>
      <c r="AT66" s="4">
        <f t="shared" si="36"/>
        <v>0</v>
      </c>
      <c r="AU66" s="4">
        <f t="shared" si="37"/>
        <v>0</v>
      </c>
      <c r="AV66" s="4">
        <f t="shared" si="38"/>
        <v>0</v>
      </c>
      <c r="AW66" s="4">
        <f t="shared" si="39"/>
        <v>0</v>
      </c>
      <c r="AX66" s="4">
        <f t="shared" si="40"/>
        <v>0</v>
      </c>
      <c r="AY66" s="4">
        <f t="shared" si="41"/>
        <v>0</v>
      </c>
      <c r="AZ66" s="4">
        <f t="shared" si="42"/>
        <v>0</v>
      </c>
      <c r="BA66" s="4">
        <f t="shared" si="43"/>
        <v>0</v>
      </c>
      <c r="BB66" s="4">
        <f t="shared" si="44"/>
        <v>17</v>
      </c>
      <c r="BC66" s="4">
        <f t="shared" si="45"/>
        <v>0</v>
      </c>
      <c r="BD66" s="4">
        <f t="shared" si="46"/>
        <v>0</v>
      </c>
      <c r="BE66" s="4">
        <f t="shared" si="47"/>
        <v>0</v>
      </c>
      <c r="BF66" s="4">
        <f t="shared" si="48"/>
        <v>0</v>
      </c>
    </row>
    <row r="67" spans="1:58">
      <c r="A67" s="4">
        <f>MIN(StopFreqGHz+0.000001,FieldFox!A66+FreqStep)</f>
        <v>26.500001000000001</v>
      </c>
      <c r="B67" s="4">
        <f t="shared" si="18"/>
        <v>-152</v>
      </c>
      <c r="C67" s="4">
        <f t="shared" si="19"/>
        <v>2</v>
      </c>
      <c r="D67" s="4">
        <f t="shared" si="20"/>
        <v>0.33333333333333331</v>
      </c>
      <c r="E67" s="86">
        <f>NseMeas!H67</f>
        <v>438.4470651377784</v>
      </c>
      <c r="F67" s="4">
        <f t="shared" si="21"/>
        <v>4.0000000000000009</v>
      </c>
      <c r="G67" s="4">
        <f t="shared" si="22"/>
        <v>20</v>
      </c>
      <c r="H67" s="88">
        <f>10*LOG10(P1dbBWghz*1000000000*NseMeas!J67/NseMeas!BW)</f>
        <v>-28.652597449359142</v>
      </c>
      <c r="I67" s="4" t="b">
        <f t="shared" si="23"/>
        <v>0</v>
      </c>
      <c r="J67" s="87">
        <f>MAX(NseMeas!T67,K67/1000)</f>
        <v>825664854.90636683</v>
      </c>
      <c r="K67" s="87">
        <f>NseMeas!S67</f>
        <v>1844875354.154526</v>
      </c>
      <c r="L67" s="87">
        <f>NseMeas!X67</f>
        <v>1019210499.2481589</v>
      </c>
      <c r="M67" s="88">
        <f t="shared" si="49"/>
        <v>43.163202203876551</v>
      </c>
      <c r="N67" s="87">
        <f>4*K67*NseMeas!K67*Jitter1H1s/SQRT($BZ$4)</f>
        <v>2.283887131344474</v>
      </c>
      <c r="O67" s="4">
        <f t="shared" si="50"/>
        <v>0.2</v>
      </c>
      <c r="P67" s="4">
        <f t="shared" si="51"/>
        <v>0.1</v>
      </c>
      <c r="Q67" s="86">
        <f>MAX(0.1,P67/(1+(NseMeas!J67*J67/(NseMeas!L67*L67))))</f>
        <v>0.1</v>
      </c>
      <c r="R67" s="86">
        <f>MAX(0.1,P67/(1+((NseMeas!L67*L67)/(NseMeas!J67*J67))))</f>
        <v>0.1</v>
      </c>
      <c r="S67" s="87">
        <f>MAX(Calibration!Q67,T67/1000)</f>
        <v>6.4485344474614736E-2</v>
      </c>
      <c r="T67" s="87">
        <f>Calibration!P67</f>
        <v>1.0644853444746147</v>
      </c>
      <c r="U67" s="87">
        <f>ABS(Calibration!S67)</f>
        <v>1</v>
      </c>
      <c r="V67" s="88">
        <f>T_0*(10^((O67+DashBoard!$N$6)/10)-1)-N67</f>
        <v>48.436403801119091</v>
      </c>
      <c r="W67" s="87">
        <f>4*T67*NseMeas!T67*Jitter1H1s/SQRT($BZ$4)</f>
        <v>1488536.0455197236</v>
      </c>
      <c r="X67" s="4">
        <f t="shared" si="27"/>
        <v>944441210.55747628</v>
      </c>
      <c r="Y67" s="4">
        <f>MIN(DashBoard!$N$5/2, X67/2)</f>
        <v>5.5</v>
      </c>
      <c r="Z67" s="86">
        <f>MAX(0.1,Y67/(1+(Calibration!H67*S67/(Calibration!J67*U67))))</f>
        <v>2.1052992355230069</v>
      </c>
      <c r="AA67" s="86">
        <f>MAX(0.1,Y67/(1+((Calibration!J67*U67)/(Calibration!H67*S67))))</f>
        <v>3.3947007644769931</v>
      </c>
      <c r="AC67" s="4">
        <f t="shared" si="52"/>
        <v>3.3947007644769931</v>
      </c>
      <c r="AD67" s="4">
        <f t="shared" si="53"/>
        <v>5.5</v>
      </c>
      <c r="AE67" s="4">
        <f t="shared" si="54"/>
        <v>2.1052992355230069</v>
      </c>
      <c r="AF67" s="4">
        <f t="shared" si="55"/>
        <v>0.1</v>
      </c>
      <c r="AG67" s="4">
        <f t="shared" si="56"/>
        <v>0.1</v>
      </c>
      <c r="AH67" s="4">
        <f t="shared" si="57"/>
        <v>0.1</v>
      </c>
      <c r="AI67" s="4">
        <f t="shared" si="25"/>
        <v>0.30000000000000004</v>
      </c>
      <c r="AJ67" s="4">
        <f t="shared" si="26"/>
        <v>24.489999999999988</v>
      </c>
      <c r="AK67" s="4">
        <f t="shared" si="28"/>
        <v>17</v>
      </c>
      <c r="AL67" s="4">
        <f t="shared" si="13"/>
        <v>0</v>
      </c>
      <c r="AM67" s="4">
        <f t="shared" si="29"/>
        <v>0</v>
      </c>
      <c r="AN67" s="4">
        <f t="shared" si="30"/>
        <v>0</v>
      </c>
      <c r="AO67" s="4">
        <f t="shared" si="31"/>
        <v>0</v>
      </c>
      <c r="AP67" s="4">
        <f t="shared" si="32"/>
        <v>0</v>
      </c>
      <c r="AQ67" s="4">
        <f t="shared" si="33"/>
        <v>0</v>
      </c>
      <c r="AR67" s="4">
        <f t="shared" si="34"/>
        <v>0</v>
      </c>
      <c r="AS67" s="4">
        <f t="shared" si="35"/>
        <v>0</v>
      </c>
      <c r="AT67" s="4">
        <f t="shared" si="36"/>
        <v>0</v>
      </c>
      <c r="AU67" s="4">
        <f t="shared" si="37"/>
        <v>0</v>
      </c>
      <c r="AV67" s="4">
        <f t="shared" si="38"/>
        <v>0</v>
      </c>
      <c r="AW67" s="4">
        <f t="shared" si="39"/>
        <v>0</v>
      </c>
      <c r="AX67" s="4">
        <f t="shared" si="40"/>
        <v>0</v>
      </c>
      <c r="AY67" s="4">
        <f t="shared" si="41"/>
        <v>0</v>
      </c>
      <c r="AZ67" s="4">
        <f t="shared" si="42"/>
        <v>0</v>
      </c>
      <c r="BA67" s="4">
        <f t="shared" si="43"/>
        <v>0</v>
      </c>
      <c r="BB67" s="4">
        <f t="shared" si="44"/>
        <v>17</v>
      </c>
      <c r="BC67" s="4">
        <f t="shared" si="45"/>
        <v>0</v>
      </c>
      <c r="BD67" s="4">
        <f t="shared" si="46"/>
        <v>0</v>
      </c>
      <c r="BE67" s="4">
        <f t="shared" si="47"/>
        <v>0</v>
      </c>
      <c r="BF67" s="4">
        <f t="shared" si="48"/>
        <v>0</v>
      </c>
    </row>
    <row r="68" spans="1:58">
      <c r="A68" s="4">
        <f>MIN(StopFreqGHz+0.000001,FieldFox!A67+FreqStep)</f>
        <v>26.500001000000001</v>
      </c>
      <c r="B68" s="4">
        <f t="shared" si="18"/>
        <v>-152</v>
      </c>
      <c r="C68" s="4">
        <f t="shared" si="19"/>
        <v>2</v>
      </c>
      <c r="D68" s="4">
        <f t="shared" si="20"/>
        <v>0.33333333333333331</v>
      </c>
      <c r="E68" s="86">
        <f>NseMeas!H68</f>
        <v>438.4470651377784</v>
      </c>
      <c r="F68" s="4">
        <f t="shared" si="21"/>
        <v>4.0000000000000009</v>
      </c>
      <c r="G68" s="4">
        <f t="shared" si="22"/>
        <v>20</v>
      </c>
      <c r="H68" s="88">
        <f>10*LOG10(P1dbBWghz*1000000000*NseMeas!J68/NseMeas!BW)</f>
        <v>-28.652597449359142</v>
      </c>
      <c r="I68" s="4" t="b">
        <f t="shared" si="23"/>
        <v>0</v>
      </c>
      <c r="J68" s="87">
        <f>MAX(NseMeas!T68,K68/1000)</f>
        <v>825664854.90636683</v>
      </c>
      <c r="K68" s="87">
        <f>NseMeas!S68</f>
        <v>1844875354.154526</v>
      </c>
      <c r="L68" s="87">
        <f>NseMeas!X68</f>
        <v>1019210499.2481589</v>
      </c>
      <c r="M68" s="88">
        <f t="shared" si="49"/>
        <v>43.163202203876551</v>
      </c>
      <c r="N68" s="87">
        <f>4*K68*NseMeas!K68*Jitter1H1s/SQRT($BZ$4)</f>
        <v>2.283887131344474</v>
      </c>
      <c r="O68" s="4">
        <f t="shared" si="50"/>
        <v>0.2</v>
      </c>
      <c r="P68" s="4">
        <f t="shared" si="51"/>
        <v>0.1</v>
      </c>
      <c r="Q68" s="86">
        <f>MAX(0.1,P68/(1+(NseMeas!J68*J68/(NseMeas!L68*L68))))</f>
        <v>0.1</v>
      </c>
      <c r="R68" s="86">
        <f>MAX(0.1,P68/(1+((NseMeas!L68*L68)/(NseMeas!J68*J68))))</f>
        <v>0.1</v>
      </c>
      <c r="S68" s="87">
        <f>MAX(Calibration!Q68,T68/1000)</f>
        <v>6.4485344474614736E-2</v>
      </c>
      <c r="T68" s="87">
        <f>Calibration!P68</f>
        <v>1.0644853444746147</v>
      </c>
      <c r="U68" s="87">
        <f>ABS(Calibration!S68)</f>
        <v>1</v>
      </c>
      <c r="V68" s="88">
        <f>T_0*(10^((O68+DashBoard!$N$6)/10)-1)-N68</f>
        <v>48.436403801119091</v>
      </c>
      <c r="W68" s="87">
        <f>4*T68*NseMeas!T68*Jitter1H1s/SQRT($BZ$4)</f>
        <v>1488536.0455197236</v>
      </c>
      <c r="X68" s="4">
        <f t="shared" si="27"/>
        <v>944441210.55747628</v>
      </c>
      <c r="Y68" s="4">
        <f>MIN(DashBoard!$N$5/2, X68/2)</f>
        <v>5.5</v>
      </c>
      <c r="Z68" s="86">
        <f>MAX(0.1,Y68/(1+(Calibration!H68*S68/(Calibration!J68*U68))))</f>
        <v>2.1052992355230069</v>
      </c>
      <c r="AA68" s="86">
        <f>MAX(0.1,Y68/(1+((Calibration!J68*U68)/(Calibration!H68*S68))))</f>
        <v>3.3947007644769931</v>
      </c>
      <c r="AC68" s="4">
        <f t="shared" si="52"/>
        <v>3.3947007644769931</v>
      </c>
      <c r="AD68" s="4">
        <f t="shared" si="53"/>
        <v>5.5</v>
      </c>
      <c r="AE68" s="4">
        <f t="shared" si="54"/>
        <v>2.1052992355230069</v>
      </c>
      <c r="AF68" s="4">
        <f t="shared" si="55"/>
        <v>0.1</v>
      </c>
      <c r="AG68" s="4">
        <f t="shared" si="56"/>
        <v>0.1</v>
      </c>
      <c r="AH68" s="4">
        <f t="shared" si="57"/>
        <v>0.1</v>
      </c>
      <c r="AI68" s="4">
        <f t="shared" si="25"/>
        <v>0.30000000000000004</v>
      </c>
      <c r="AJ68" s="4">
        <f>B68+173.98+2.51</f>
        <v>24.489999999999988</v>
      </c>
      <c r="AK68" s="4">
        <f t="shared" si="28"/>
        <v>17</v>
      </c>
      <c r="AL68" s="4">
        <f t="shared" si="13"/>
        <v>0</v>
      </c>
      <c r="AM68" s="4">
        <f t="shared" si="29"/>
        <v>0</v>
      </c>
      <c r="AN68" s="4">
        <f t="shared" si="30"/>
        <v>0</v>
      </c>
      <c r="AO68" s="4">
        <f t="shared" si="31"/>
        <v>0</v>
      </c>
      <c r="AP68" s="4">
        <f t="shared" si="32"/>
        <v>0</v>
      </c>
      <c r="AQ68" s="4">
        <f t="shared" si="33"/>
        <v>0</v>
      </c>
      <c r="AR68" s="4">
        <f t="shared" si="34"/>
        <v>0</v>
      </c>
      <c r="AS68" s="4">
        <f t="shared" si="35"/>
        <v>0</v>
      </c>
      <c r="AT68" s="4">
        <f t="shared" si="36"/>
        <v>0</v>
      </c>
      <c r="AU68" s="4">
        <f t="shared" si="37"/>
        <v>0</v>
      </c>
      <c r="AV68" s="4">
        <f t="shared" si="38"/>
        <v>0</v>
      </c>
      <c r="AW68" s="4">
        <f t="shared" si="39"/>
        <v>0</v>
      </c>
      <c r="AX68" s="4">
        <f t="shared" si="40"/>
        <v>0</v>
      </c>
      <c r="AY68" s="4">
        <f t="shared" si="41"/>
        <v>0</v>
      </c>
      <c r="AZ68" s="4">
        <f t="shared" si="42"/>
        <v>0</v>
      </c>
      <c r="BA68" s="4">
        <f t="shared" si="43"/>
        <v>0</v>
      </c>
      <c r="BB68" s="4">
        <f t="shared" si="44"/>
        <v>17</v>
      </c>
      <c r="BC68" s="4">
        <f t="shared" si="45"/>
        <v>0</v>
      </c>
      <c r="BD68" s="4">
        <f t="shared" si="46"/>
        <v>0</v>
      </c>
      <c r="BE68" s="4">
        <f t="shared" si="47"/>
        <v>0</v>
      </c>
      <c r="BF68" s="4">
        <f t="shared" si="48"/>
        <v>0</v>
      </c>
    </row>
    <row r="69" spans="1:58">
      <c r="A69" s="4">
        <f>MIN(StopFreqGHz+0.000001,FieldFox!A68+FreqStep)</f>
        <v>26.500001000000001</v>
      </c>
      <c r="B69" s="4">
        <f t="shared" si="18"/>
        <v>-152</v>
      </c>
      <c r="C69" s="4">
        <f t="shared" si="19"/>
        <v>2</v>
      </c>
      <c r="D69" s="4">
        <f t="shared" si="20"/>
        <v>0.33333333333333331</v>
      </c>
      <c r="E69" s="86">
        <f>NseMeas!H69</f>
        <v>438.4470651377784</v>
      </c>
      <c r="F69" s="4">
        <f t="shared" si="21"/>
        <v>4.0000000000000009</v>
      </c>
      <c r="G69" s="4">
        <f t="shared" si="22"/>
        <v>20</v>
      </c>
      <c r="H69" s="88">
        <f>10*LOG10(P1dbBWghz*1000000000*NseMeas!J69/NseMeas!BW)</f>
        <v>-28.652597449359142</v>
      </c>
      <c r="I69" s="4" t="b">
        <f t="shared" si="23"/>
        <v>0</v>
      </c>
      <c r="J69" s="87">
        <f>MAX(NseMeas!T69,K69/1000)</f>
        <v>825664854.90636683</v>
      </c>
      <c r="K69" s="87">
        <f>NseMeas!S69</f>
        <v>1844875354.154526</v>
      </c>
      <c r="L69" s="87">
        <f>NseMeas!X69</f>
        <v>1019210499.2481589</v>
      </c>
      <c r="M69" s="88">
        <f t="shared" ref="M69:M100" si="58">T_0*(10^((F69+MeasJitterGoal)/10)-1)-E69</f>
        <v>43.163202203876551</v>
      </c>
      <c r="N69" s="87">
        <f>4*K69*NseMeas!K69*Jitter1H1s/SQRT($BZ$4)</f>
        <v>2.283887131344474</v>
      </c>
      <c r="O69" s="4">
        <f t="shared" ref="O69:O100" si="59">MIN(MeasMaxTime,MAX((N69/M69)^2,0.2))</f>
        <v>0.2</v>
      </c>
      <c r="P69" s="4">
        <f t="shared" ref="P69:P100" si="60">MIN(MeasMaxTime/2, O69/2)</f>
        <v>0.1</v>
      </c>
      <c r="Q69" s="86">
        <f>MAX(0.1,P69/(1+(NseMeas!J69*J69/(NseMeas!L69*L69))))</f>
        <v>0.1</v>
      </c>
      <c r="R69" s="86">
        <f>MAX(0.1,P69/(1+((NseMeas!L69*L69)/(NseMeas!J69*J69))))</f>
        <v>0.1</v>
      </c>
      <c r="S69" s="87">
        <f>MAX(Calibration!Q69,T69/1000)</f>
        <v>6.4485344474614736E-2</v>
      </c>
      <c r="T69" s="87">
        <f>Calibration!P69</f>
        <v>1.0644853444746147</v>
      </c>
      <c r="U69" s="87">
        <f>ABS(Calibration!S69)</f>
        <v>1</v>
      </c>
      <c r="V69" s="88">
        <f>T_0*(10^((O69+DashBoard!$N$6)/10)-1)-N69</f>
        <v>48.436403801119091</v>
      </c>
      <c r="W69" s="87">
        <f>4*T69*NseMeas!T69*Jitter1H1s/SQRT($BZ$4)</f>
        <v>1488536.0455197236</v>
      </c>
      <c r="X69" s="4">
        <f t="shared" si="27"/>
        <v>944441210.55747628</v>
      </c>
      <c r="Y69" s="4">
        <f>MIN(DashBoard!$N$5/2, X69/2)</f>
        <v>5.5</v>
      </c>
      <c r="Z69" s="86">
        <f>MAX(0.1,Y69/(1+(Calibration!H69*S69/(Calibration!J69*U69))))</f>
        <v>2.1052992355230069</v>
      </c>
      <c r="AA69" s="86">
        <f>MAX(0.1,Y69/(1+((Calibration!J69*U69)/(Calibration!H69*S69))))</f>
        <v>3.3947007644769931</v>
      </c>
      <c r="AC69" s="4">
        <f t="shared" ref="AC69:AC100" si="61">IF(CalIntegrationType=1,FixedMeasTimeUC/3,AA69)</f>
        <v>3.3947007644769931</v>
      </c>
      <c r="AD69" s="4">
        <f t="shared" ref="AD69:AD100" si="62">IF(CalIntegrationType=1,FixedMeasTimeUC/3,Y69)</f>
        <v>5.5</v>
      </c>
      <c r="AE69" s="4">
        <f t="shared" ref="AE69:AE100" si="63">IF(CalIntegrationType=1,FixedMeasTimeUC/3,Z69)</f>
        <v>2.1052992355230069</v>
      </c>
      <c r="AF69" s="4">
        <f t="shared" ref="AF69:AF100" si="64">IF(IntegrationType=1,FixedMeasTime/3,R69)</f>
        <v>0.1</v>
      </c>
      <c r="AG69" s="4">
        <f t="shared" ref="AG69:AG100" si="65">IF(IntegrationType=1,FixedMeasTime/3,P69)</f>
        <v>0.1</v>
      </c>
      <c r="AH69" s="4">
        <f t="shared" ref="AH69:AH100" si="66">IF(IntegrationType=1,FixedMeasTime/3,P69)</f>
        <v>0.1</v>
      </c>
      <c r="AI69" s="4">
        <f t="shared" si="25"/>
        <v>0.30000000000000004</v>
      </c>
      <c r="AJ69" s="4">
        <f t="shared" si="26"/>
        <v>24.489999999999988</v>
      </c>
      <c r="AK69" s="4">
        <f t="shared" si="28"/>
        <v>17</v>
      </c>
      <c r="AL69" s="4">
        <f t="shared" ref="AL69:AL106" si="67">1*AND($A69&gt;=$BH$4,$A69&lt;$BI$4)</f>
        <v>0</v>
      </c>
      <c r="AM69" s="4">
        <f t="shared" si="29"/>
        <v>0</v>
      </c>
      <c r="AN69" s="4">
        <f t="shared" si="30"/>
        <v>0</v>
      </c>
      <c r="AO69" s="4">
        <f t="shared" si="31"/>
        <v>0</v>
      </c>
      <c r="AP69" s="4">
        <f t="shared" si="32"/>
        <v>0</v>
      </c>
      <c r="AQ69" s="4">
        <f t="shared" si="33"/>
        <v>0</v>
      </c>
      <c r="AR69" s="4">
        <f t="shared" si="34"/>
        <v>0</v>
      </c>
      <c r="AS69" s="4">
        <f t="shared" si="35"/>
        <v>0</v>
      </c>
      <c r="AT69" s="4">
        <f t="shared" si="36"/>
        <v>0</v>
      </c>
      <c r="AU69" s="4">
        <f t="shared" si="37"/>
        <v>0</v>
      </c>
      <c r="AV69" s="4">
        <f t="shared" si="38"/>
        <v>0</v>
      </c>
      <c r="AW69" s="4">
        <f t="shared" si="39"/>
        <v>0</v>
      </c>
      <c r="AX69" s="4">
        <f t="shared" si="40"/>
        <v>0</v>
      </c>
      <c r="AY69" s="4">
        <f t="shared" si="41"/>
        <v>0</v>
      </c>
      <c r="AZ69" s="4">
        <f t="shared" si="42"/>
        <v>0</v>
      </c>
      <c r="BA69" s="4">
        <f t="shared" si="43"/>
        <v>0</v>
      </c>
      <c r="BB69" s="4">
        <f t="shared" si="44"/>
        <v>17</v>
      </c>
      <c r="BC69" s="4">
        <f t="shared" si="45"/>
        <v>0</v>
      </c>
      <c r="BD69" s="4">
        <f t="shared" si="46"/>
        <v>0</v>
      </c>
      <c r="BE69" s="4">
        <f t="shared" si="47"/>
        <v>0</v>
      </c>
      <c r="BF69" s="4">
        <f t="shared" si="48"/>
        <v>0</v>
      </c>
    </row>
    <row r="70" spans="1:58">
      <c r="A70" s="4">
        <f>MIN(StopFreqGHz+0.000001,FieldFox!A69+FreqStep)</f>
        <v>26.500001000000001</v>
      </c>
      <c r="B70" s="4">
        <f t="shared" ref="B70:B106" si="68">CHOOSE($AK70,$BM$4,$BM$5,$BM$6,$BM$7,$BM$8,$BM$9,$BM$10,$BM$11,$BM$12,$BM$13,$BM$14,$BM$15,$BM$16,$BM$17,$BM$18,$BM$19,$BM$20,$BM$21,$BM$22,$BM$23,$BM$24)</f>
        <v>-152</v>
      </c>
      <c r="C70" s="4">
        <f t="shared" ref="C70:C106" si="69">CHOOSE($AK70,$BQ$4,$BQ$5,$BQ$6,$BQ$7,$BQ$8,$BQ$9,$BQ$10,$BQ$11,$BQ$12,$BQ$13,$BQ$14,$BQ$15,$BQ$16,$BQ$17,$BQ$18,$BQ$19,$BQ$20,$BQ$21,$BQ$22,$BQ$23,$BQ$24)</f>
        <v>2</v>
      </c>
      <c r="D70" s="4">
        <f t="shared" ref="D70:D106" si="70">(C70-1)/(C70+1)</f>
        <v>0.33333333333333331</v>
      </c>
      <c r="E70" s="86">
        <f>NseMeas!H70</f>
        <v>438.4470651377784</v>
      </c>
      <c r="F70" s="4">
        <f t="shared" ref="F70:F106" si="71">10*LOG10((E70+T_0)/T_0)</f>
        <v>4.0000000000000009</v>
      </c>
      <c r="G70" s="4">
        <f t="shared" ref="G70:G106" si="72">CHOOSE($AK70,$BU$4,$BU$5,$BU$6,$BU$7,$BU$8,$BU$9,$BU$10,$BU$11,$BU$12,$BU$13,$BU$14,$BU$15,$BU$16,$BU$17,$BU$18,$BU$19,$BU$20,$BU$21,$BU$22,$BU$23,$BU$24)</f>
        <v>20</v>
      </c>
      <c r="H70" s="88">
        <f>10*LOG10(P1dbBWghz*1000000000*NseMeas!J70/NseMeas!BW)</f>
        <v>-28.652597449359142</v>
      </c>
      <c r="I70" s="4" t="b">
        <f t="shared" ref="I70:I106" si="73">(H70&gt;=(G70-10))</f>
        <v>0</v>
      </c>
      <c r="J70" s="87">
        <f>MAX(NseMeas!T70,K70/1000)</f>
        <v>825664854.90636683</v>
      </c>
      <c r="K70" s="87">
        <f>NseMeas!S70</f>
        <v>1844875354.154526</v>
      </c>
      <c r="L70" s="87">
        <f>NseMeas!X70</f>
        <v>1019210499.2481589</v>
      </c>
      <c r="M70" s="88">
        <f t="shared" si="58"/>
        <v>43.163202203876551</v>
      </c>
      <c r="N70" s="87">
        <f>4*K70*NseMeas!K70*Jitter1H1s/SQRT($BZ$4)</f>
        <v>2.283887131344474</v>
      </c>
      <c r="O70" s="4">
        <f t="shared" si="59"/>
        <v>0.2</v>
      </c>
      <c r="P70" s="4">
        <f t="shared" si="60"/>
        <v>0.1</v>
      </c>
      <c r="Q70" s="86">
        <f>MAX(0.1,P70/(1+(NseMeas!J70*J70/(NseMeas!L70*L70))))</f>
        <v>0.1</v>
      </c>
      <c r="R70" s="86">
        <f>MAX(0.1,P70/(1+((NseMeas!L70*L70)/(NseMeas!J70*J70))))</f>
        <v>0.1</v>
      </c>
      <c r="S70" s="87">
        <f>MAX(Calibration!Q70,T70/1000)</f>
        <v>6.4485344474614736E-2</v>
      </c>
      <c r="T70" s="87">
        <f>Calibration!P70</f>
        <v>1.0644853444746147</v>
      </c>
      <c r="U70" s="87">
        <f>ABS(Calibration!S70)</f>
        <v>1</v>
      </c>
      <c r="V70" s="88">
        <f>T_0*(10^((O70+DashBoard!$N$6)/10)-1)-N70</f>
        <v>48.436403801119091</v>
      </c>
      <c r="W70" s="87">
        <f>4*T70*NseMeas!T70*Jitter1H1s/SQRT($BZ$4)</f>
        <v>1488536.0455197236</v>
      </c>
      <c r="X70" s="4">
        <f t="shared" si="27"/>
        <v>944441210.55747628</v>
      </c>
      <c r="Y70" s="4">
        <f>MIN(DashBoard!$N$5/2, X70/2)</f>
        <v>5.5</v>
      </c>
      <c r="Z70" s="86">
        <f>MAX(0.1,Y70/(1+(Calibration!H70*S70/(Calibration!J70*U70))))</f>
        <v>2.1052992355230069</v>
      </c>
      <c r="AA70" s="86">
        <f>MAX(0.1,Y70/(1+((Calibration!J70*U70)/(Calibration!H70*S70))))</f>
        <v>3.3947007644769931</v>
      </c>
      <c r="AC70" s="4">
        <f t="shared" si="61"/>
        <v>3.3947007644769931</v>
      </c>
      <c r="AD70" s="4">
        <f t="shared" si="62"/>
        <v>5.5</v>
      </c>
      <c r="AE70" s="4">
        <f t="shared" si="63"/>
        <v>2.1052992355230069</v>
      </c>
      <c r="AF70" s="4">
        <f t="shared" si="64"/>
        <v>0.1</v>
      </c>
      <c r="AG70" s="4">
        <f t="shared" si="65"/>
        <v>0.1</v>
      </c>
      <c r="AH70" s="4">
        <f t="shared" si="66"/>
        <v>0.1</v>
      </c>
      <c r="AI70" s="4">
        <f t="shared" ref="AI70:AI106" si="74">SUM(AF70:AH70)</f>
        <v>0.30000000000000004</v>
      </c>
      <c r="AJ70" s="4">
        <f t="shared" ref="AJ70:AJ106" si="75">B70+173.98+2.51</f>
        <v>24.489999999999988</v>
      </c>
      <c r="AK70" s="4">
        <f t="shared" si="28"/>
        <v>17</v>
      </c>
      <c r="AL70" s="4">
        <f t="shared" si="67"/>
        <v>0</v>
      </c>
      <c r="AM70" s="4">
        <f t="shared" si="29"/>
        <v>0</v>
      </c>
      <c r="AN70" s="4">
        <f t="shared" si="30"/>
        <v>0</v>
      </c>
      <c r="AO70" s="4">
        <f t="shared" si="31"/>
        <v>0</v>
      </c>
      <c r="AP70" s="4">
        <f t="shared" si="32"/>
        <v>0</v>
      </c>
      <c r="AQ70" s="4">
        <f t="shared" si="33"/>
        <v>0</v>
      </c>
      <c r="AR70" s="4">
        <f t="shared" si="34"/>
        <v>0</v>
      </c>
      <c r="AS70" s="4">
        <f t="shared" si="35"/>
        <v>0</v>
      </c>
      <c r="AT70" s="4">
        <f t="shared" si="36"/>
        <v>0</v>
      </c>
      <c r="AU70" s="4">
        <f t="shared" si="37"/>
        <v>0</v>
      </c>
      <c r="AV70" s="4">
        <f t="shared" si="38"/>
        <v>0</v>
      </c>
      <c r="AW70" s="4">
        <f t="shared" si="39"/>
        <v>0</v>
      </c>
      <c r="AX70" s="4">
        <f t="shared" si="40"/>
        <v>0</v>
      </c>
      <c r="AY70" s="4">
        <f t="shared" si="41"/>
        <v>0</v>
      </c>
      <c r="AZ70" s="4">
        <f t="shared" si="42"/>
        <v>0</v>
      </c>
      <c r="BA70" s="4">
        <f t="shared" si="43"/>
        <v>0</v>
      </c>
      <c r="BB70" s="4">
        <f t="shared" si="44"/>
        <v>17</v>
      </c>
      <c r="BC70" s="4">
        <f t="shared" si="45"/>
        <v>0</v>
      </c>
      <c r="BD70" s="4">
        <f t="shared" si="46"/>
        <v>0</v>
      </c>
      <c r="BE70" s="4">
        <f t="shared" si="47"/>
        <v>0</v>
      </c>
      <c r="BF70" s="4">
        <f t="shared" si="48"/>
        <v>0</v>
      </c>
    </row>
    <row r="71" spans="1:58">
      <c r="A71" s="4">
        <f>MIN(StopFreqGHz+0.000001,FieldFox!A70+FreqStep)</f>
        <v>26.500001000000001</v>
      </c>
      <c r="B71" s="4">
        <f t="shared" si="68"/>
        <v>-152</v>
      </c>
      <c r="C71" s="4">
        <f t="shared" si="69"/>
        <v>2</v>
      </c>
      <c r="D71" s="4">
        <f t="shared" si="70"/>
        <v>0.33333333333333331</v>
      </c>
      <c r="E71" s="86">
        <f>NseMeas!H71</f>
        <v>438.4470651377784</v>
      </c>
      <c r="F71" s="4">
        <f t="shared" si="71"/>
        <v>4.0000000000000009</v>
      </c>
      <c r="G71" s="4">
        <f t="shared" si="72"/>
        <v>20</v>
      </c>
      <c r="H71" s="88">
        <f>10*LOG10(P1dbBWghz*1000000000*NseMeas!J71/NseMeas!BW)</f>
        <v>-28.652597449359142</v>
      </c>
      <c r="I71" s="4" t="b">
        <f t="shared" si="73"/>
        <v>0</v>
      </c>
      <c r="J71" s="87">
        <f>MAX(NseMeas!T71,K71/1000)</f>
        <v>825664854.90636683</v>
      </c>
      <c r="K71" s="87">
        <f>NseMeas!S71</f>
        <v>1844875354.154526</v>
      </c>
      <c r="L71" s="87">
        <f>NseMeas!X71</f>
        <v>1019210499.2481589</v>
      </c>
      <c r="M71" s="88">
        <f t="shared" si="58"/>
        <v>43.163202203876551</v>
      </c>
      <c r="N71" s="87">
        <f>4*K71*NseMeas!K71*Jitter1H1s/SQRT($BZ$4)</f>
        <v>2.283887131344474</v>
      </c>
      <c r="O71" s="4">
        <f t="shared" si="59"/>
        <v>0.2</v>
      </c>
      <c r="P71" s="4">
        <f t="shared" si="60"/>
        <v>0.1</v>
      </c>
      <c r="Q71" s="86">
        <f>MAX(0.1,P71/(1+(NseMeas!J71*J71/(NseMeas!L71*L71))))</f>
        <v>0.1</v>
      </c>
      <c r="R71" s="86">
        <f>MAX(0.1,P71/(1+((NseMeas!L71*L71)/(NseMeas!J71*J71))))</f>
        <v>0.1</v>
      </c>
      <c r="S71" s="87">
        <f>MAX(Calibration!Q71,T71/1000)</f>
        <v>6.4485344474614736E-2</v>
      </c>
      <c r="T71" s="87">
        <f>Calibration!P71</f>
        <v>1.0644853444746147</v>
      </c>
      <c r="U71" s="87">
        <f>ABS(Calibration!S71)</f>
        <v>1</v>
      </c>
      <c r="V71" s="88">
        <f>T_0*(10^((O71+DashBoard!$N$6)/10)-1)-N71</f>
        <v>48.436403801119091</v>
      </c>
      <c r="W71" s="87">
        <f>4*T71*NseMeas!T71*Jitter1H1s/SQRT($BZ$4)</f>
        <v>1488536.0455197236</v>
      </c>
      <c r="X71" s="4">
        <f t="shared" ref="X71:X106" si="76">MAX((W71/V71)^2,0.2)</f>
        <v>944441210.55747628</v>
      </c>
      <c r="Y71" s="4">
        <f>MIN(DashBoard!$N$5/2, X71/2)</f>
        <v>5.5</v>
      </c>
      <c r="Z71" s="86">
        <f>MAX(0.1,Y71/(1+(Calibration!H71*S71/(Calibration!J71*U71))))</f>
        <v>2.1052992355230069</v>
      </c>
      <c r="AA71" s="86">
        <f>MAX(0.1,Y71/(1+((Calibration!J71*U71)/(Calibration!H71*S71))))</f>
        <v>3.3947007644769931</v>
      </c>
      <c r="AC71" s="4">
        <f t="shared" si="61"/>
        <v>3.3947007644769931</v>
      </c>
      <c r="AD71" s="4">
        <f t="shared" si="62"/>
        <v>5.5</v>
      </c>
      <c r="AE71" s="4">
        <f t="shared" si="63"/>
        <v>2.1052992355230069</v>
      </c>
      <c r="AF71" s="4">
        <f t="shared" si="64"/>
        <v>0.1</v>
      </c>
      <c r="AG71" s="4">
        <f t="shared" si="65"/>
        <v>0.1</v>
      </c>
      <c r="AH71" s="4">
        <f t="shared" si="66"/>
        <v>0.1</v>
      </c>
      <c r="AI71" s="4">
        <f t="shared" si="74"/>
        <v>0.30000000000000004</v>
      </c>
      <c r="AJ71" s="4">
        <f t="shared" si="75"/>
        <v>24.489999999999988</v>
      </c>
      <c r="AK71" s="4">
        <f t="shared" ref="AK71:AK106" si="77">SUM(AL71:BF71)</f>
        <v>17</v>
      </c>
      <c r="AL71" s="4">
        <f t="shared" si="67"/>
        <v>0</v>
      </c>
      <c r="AM71" s="4">
        <f t="shared" si="29"/>
        <v>0</v>
      </c>
      <c r="AN71" s="4">
        <f t="shared" si="30"/>
        <v>0</v>
      </c>
      <c r="AO71" s="4">
        <f t="shared" si="31"/>
        <v>0</v>
      </c>
      <c r="AP71" s="4">
        <f t="shared" si="32"/>
        <v>0</v>
      </c>
      <c r="AQ71" s="4">
        <f t="shared" si="33"/>
        <v>0</v>
      </c>
      <c r="AR71" s="4">
        <f t="shared" si="34"/>
        <v>0</v>
      </c>
      <c r="AS71" s="4">
        <f t="shared" si="35"/>
        <v>0</v>
      </c>
      <c r="AT71" s="4">
        <f t="shared" si="36"/>
        <v>0</v>
      </c>
      <c r="AU71" s="4">
        <f t="shared" si="37"/>
        <v>0</v>
      </c>
      <c r="AV71" s="4">
        <f t="shared" si="38"/>
        <v>0</v>
      </c>
      <c r="AW71" s="4">
        <f t="shared" si="39"/>
        <v>0</v>
      </c>
      <c r="AX71" s="4">
        <f t="shared" si="40"/>
        <v>0</v>
      </c>
      <c r="AY71" s="4">
        <f t="shared" si="41"/>
        <v>0</v>
      </c>
      <c r="AZ71" s="4">
        <f t="shared" si="42"/>
        <v>0</v>
      </c>
      <c r="BA71" s="4">
        <f t="shared" si="43"/>
        <v>0</v>
      </c>
      <c r="BB71" s="4">
        <f t="shared" si="44"/>
        <v>17</v>
      </c>
      <c r="BC71" s="4">
        <f t="shared" si="45"/>
        <v>0</v>
      </c>
      <c r="BD71" s="4">
        <f t="shared" si="46"/>
        <v>0</v>
      </c>
      <c r="BE71" s="4">
        <f t="shared" si="47"/>
        <v>0</v>
      </c>
      <c r="BF71" s="4">
        <f t="shared" si="48"/>
        <v>0</v>
      </c>
    </row>
    <row r="72" spans="1:58">
      <c r="A72" s="4">
        <f>MIN(StopFreqGHz+0.000001,FieldFox!A71+FreqStep)</f>
        <v>26.500001000000001</v>
      </c>
      <c r="B72" s="4">
        <f t="shared" si="68"/>
        <v>-152</v>
      </c>
      <c r="C72" s="4">
        <f t="shared" si="69"/>
        <v>2</v>
      </c>
      <c r="D72" s="4">
        <f t="shared" si="70"/>
        <v>0.33333333333333331</v>
      </c>
      <c r="E72" s="86">
        <f>NseMeas!H72</f>
        <v>438.4470651377784</v>
      </c>
      <c r="F72" s="4">
        <f t="shared" si="71"/>
        <v>4.0000000000000009</v>
      </c>
      <c r="G72" s="4">
        <f t="shared" si="72"/>
        <v>20</v>
      </c>
      <c r="H72" s="88">
        <f>10*LOG10(P1dbBWghz*1000000000*NseMeas!J72/NseMeas!BW)</f>
        <v>-28.652597449359142</v>
      </c>
      <c r="I72" s="4" t="b">
        <f t="shared" si="73"/>
        <v>0</v>
      </c>
      <c r="J72" s="87">
        <f>MAX(NseMeas!T72,K72/1000)</f>
        <v>825664854.90636683</v>
      </c>
      <c r="K72" s="87">
        <f>NseMeas!S72</f>
        <v>1844875354.154526</v>
      </c>
      <c r="L72" s="87">
        <f>NseMeas!X72</f>
        <v>1019210499.2481589</v>
      </c>
      <c r="M72" s="88">
        <f t="shared" si="58"/>
        <v>43.163202203876551</v>
      </c>
      <c r="N72" s="87">
        <f>4*K72*NseMeas!K72*Jitter1H1s/SQRT($BZ$4)</f>
        <v>2.283887131344474</v>
      </c>
      <c r="O72" s="4">
        <f t="shared" si="59"/>
        <v>0.2</v>
      </c>
      <c r="P72" s="4">
        <f t="shared" si="60"/>
        <v>0.1</v>
      </c>
      <c r="Q72" s="86">
        <f>MAX(0.1,P72/(1+(NseMeas!J72*J72/(NseMeas!L72*L72))))</f>
        <v>0.1</v>
      </c>
      <c r="R72" s="86">
        <f>MAX(0.1,P72/(1+((NseMeas!L72*L72)/(NseMeas!J72*J72))))</f>
        <v>0.1</v>
      </c>
      <c r="S72" s="87">
        <f>MAX(Calibration!Q72,T72/1000)</f>
        <v>6.4485344474614736E-2</v>
      </c>
      <c r="T72" s="87">
        <f>Calibration!P72</f>
        <v>1.0644853444746147</v>
      </c>
      <c r="U72" s="87">
        <f>ABS(Calibration!S72)</f>
        <v>1</v>
      </c>
      <c r="V72" s="88">
        <f>T_0*(10^((O72+DashBoard!$N$6)/10)-1)-N72</f>
        <v>48.436403801119091</v>
      </c>
      <c r="W72" s="87">
        <f>4*T72*NseMeas!T72*Jitter1H1s/SQRT($BZ$4)</f>
        <v>1488536.0455197236</v>
      </c>
      <c r="X72" s="4">
        <f t="shared" si="76"/>
        <v>944441210.55747628</v>
      </c>
      <c r="Y72" s="4">
        <f>MIN(DashBoard!$N$5/2, X72/2)</f>
        <v>5.5</v>
      </c>
      <c r="Z72" s="86">
        <f>MAX(0.1,Y72/(1+(Calibration!H72*S72/(Calibration!J72*U72))))</f>
        <v>2.1052992355230069</v>
      </c>
      <c r="AA72" s="86">
        <f>MAX(0.1,Y72/(1+((Calibration!J72*U72)/(Calibration!H72*S72))))</f>
        <v>3.3947007644769931</v>
      </c>
      <c r="AC72" s="4">
        <f t="shared" si="61"/>
        <v>3.3947007644769931</v>
      </c>
      <c r="AD72" s="4">
        <f t="shared" si="62"/>
        <v>5.5</v>
      </c>
      <c r="AE72" s="4">
        <f t="shared" si="63"/>
        <v>2.1052992355230069</v>
      </c>
      <c r="AF72" s="4">
        <f t="shared" si="64"/>
        <v>0.1</v>
      </c>
      <c r="AG72" s="4">
        <f t="shared" si="65"/>
        <v>0.1</v>
      </c>
      <c r="AH72" s="4">
        <f t="shared" si="66"/>
        <v>0.1</v>
      </c>
      <c r="AI72" s="4">
        <f t="shared" si="74"/>
        <v>0.30000000000000004</v>
      </c>
      <c r="AJ72" s="4">
        <f t="shared" si="75"/>
        <v>24.489999999999988</v>
      </c>
      <c r="AK72" s="4">
        <f t="shared" si="77"/>
        <v>17</v>
      </c>
      <c r="AL72" s="4">
        <f t="shared" si="67"/>
        <v>0</v>
      </c>
      <c r="AM72" s="4">
        <f t="shared" si="29"/>
        <v>0</v>
      </c>
      <c r="AN72" s="4">
        <f t="shared" si="30"/>
        <v>0</v>
      </c>
      <c r="AO72" s="4">
        <f t="shared" si="31"/>
        <v>0</v>
      </c>
      <c r="AP72" s="4">
        <f t="shared" si="32"/>
        <v>0</v>
      </c>
      <c r="AQ72" s="4">
        <f t="shared" si="33"/>
        <v>0</v>
      </c>
      <c r="AR72" s="4">
        <f t="shared" si="34"/>
        <v>0</v>
      </c>
      <c r="AS72" s="4">
        <f t="shared" si="35"/>
        <v>0</v>
      </c>
      <c r="AT72" s="4">
        <f t="shared" si="36"/>
        <v>0</v>
      </c>
      <c r="AU72" s="4">
        <f t="shared" si="37"/>
        <v>0</v>
      </c>
      <c r="AV72" s="4">
        <f t="shared" si="38"/>
        <v>0</v>
      </c>
      <c r="AW72" s="4">
        <f t="shared" si="39"/>
        <v>0</v>
      </c>
      <c r="AX72" s="4">
        <f t="shared" si="40"/>
        <v>0</v>
      </c>
      <c r="AY72" s="4">
        <f t="shared" si="41"/>
        <v>0</v>
      </c>
      <c r="AZ72" s="4">
        <f t="shared" si="42"/>
        <v>0</v>
      </c>
      <c r="BA72" s="4">
        <f t="shared" si="43"/>
        <v>0</v>
      </c>
      <c r="BB72" s="4">
        <f t="shared" si="44"/>
        <v>17</v>
      </c>
      <c r="BC72" s="4">
        <f t="shared" si="45"/>
        <v>0</v>
      </c>
      <c r="BD72" s="4">
        <f t="shared" si="46"/>
        <v>0</v>
      </c>
      <c r="BE72" s="4">
        <f t="shared" si="47"/>
        <v>0</v>
      </c>
      <c r="BF72" s="4">
        <f t="shared" si="48"/>
        <v>0</v>
      </c>
    </row>
    <row r="73" spans="1:58">
      <c r="A73" s="4">
        <f>MIN(StopFreqGHz+0.000001,FieldFox!A72+FreqStep)</f>
        <v>26.500001000000001</v>
      </c>
      <c r="B73" s="4">
        <f t="shared" si="68"/>
        <v>-152</v>
      </c>
      <c r="C73" s="4">
        <f t="shared" si="69"/>
        <v>2</v>
      </c>
      <c r="D73" s="4">
        <f t="shared" si="70"/>
        <v>0.33333333333333331</v>
      </c>
      <c r="E73" s="86">
        <f>NseMeas!H73</f>
        <v>438.4470651377784</v>
      </c>
      <c r="F73" s="4">
        <f t="shared" si="71"/>
        <v>4.0000000000000009</v>
      </c>
      <c r="G73" s="4">
        <f t="shared" si="72"/>
        <v>20</v>
      </c>
      <c r="H73" s="88">
        <f>10*LOG10(P1dbBWghz*1000000000*NseMeas!J73/NseMeas!BW)</f>
        <v>-28.652597449359142</v>
      </c>
      <c r="I73" s="4" t="b">
        <f t="shared" si="73"/>
        <v>0</v>
      </c>
      <c r="J73" s="87">
        <f>MAX(NseMeas!T73,K73/1000)</f>
        <v>825664854.90636683</v>
      </c>
      <c r="K73" s="87">
        <f>NseMeas!S73</f>
        <v>1844875354.154526</v>
      </c>
      <c r="L73" s="87">
        <f>NseMeas!X73</f>
        <v>1019210499.2481589</v>
      </c>
      <c r="M73" s="88">
        <f t="shared" si="58"/>
        <v>43.163202203876551</v>
      </c>
      <c r="N73" s="87">
        <f>4*K73*NseMeas!K73*Jitter1H1s/SQRT($BZ$4)</f>
        <v>2.283887131344474</v>
      </c>
      <c r="O73" s="4">
        <f t="shared" si="59"/>
        <v>0.2</v>
      </c>
      <c r="P73" s="4">
        <f t="shared" si="60"/>
        <v>0.1</v>
      </c>
      <c r="Q73" s="86">
        <f>MAX(0.1,P73/(1+(NseMeas!J73*J73/(NseMeas!L73*L73))))</f>
        <v>0.1</v>
      </c>
      <c r="R73" s="86">
        <f>MAX(0.1,P73/(1+((NseMeas!L73*L73)/(NseMeas!J73*J73))))</f>
        <v>0.1</v>
      </c>
      <c r="S73" s="87">
        <f>MAX(Calibration!Q73,T73/1000)</f>
        <v>6.4485344474614736E-2</v>
      </c>
      <c r="T73" s="87">
        <f>Calibration!P73</f>
        <v>1.0644853444746147</v>
      </c>
      <c r="U73" s="87">
        <f>ABS(Calibration!S73)</f>
        <v>1</v>
      </c>
      <c r="V73" s="88">
        <f>T_0*(10^((O73+DashBoard!$N$6)/10)-1)-N73</f>
        <v>48.436403801119091</v>
      </c>
      <c r="W73" s="87">
        <f>4*T73*NseMeas!T73*Jitter1H1s/SQRT($BZ$4)</f>
        <v>1488536.0455197236</v>
      </c>
      <c r="X73" s="4">
        <f t="shared" si="76"/>
        <v>944441210.55747628</v>
      </c>
      <c r="Y73" s="4">
        <f>MIN(DashBoard!$N$5/2, X73/2)</f>
        <v>5.5</v>
      </c>
      <c r="Z73" s="86">
        <f>MAX(0.1,Y73/(1+(Calibration!H73*S73/(Calibration!J73*U73))))</f>
        <v>2.1052992355230069</v>
      </c>
      <c r="AA73" s="86">
        <f>MAX(0.1,Y73/(1+((Calibration!J73*U73)/(Calibration!H73*S73))))</f>
        <v>3.3947007644769931</v>
      </c>
      <c r="AC73" s="4">
        <f t="shared" si="61"/>
        <v>3.3947007644769931</v>
      </c>
      <c r="AD73" s="4">
        <f t="shared" si="62"/>
        <v>5.5</v>
      </c>
      <c r="AE73" s="4">
        <f t="shared" si="63"/>
        <v>2.1052992355230069</v>
      </c>
      <c r="AF73" s="4">
        <f t="shared" si="64"/>
        <v>0.1</v>
      </c>
      <c r="AG73" s="4">
        <f t="shared" si="65"/>
        <v>0.1</v>
      </c>
      <c r="AH73" s="4">
        <f t="shared" si="66"/>
        <v>0.1</v>
      </c>
      <c r="AI73" s="4">
        <f t="shared" si="74"/>
        <v>0.30000000000000004</v>
      </c>
      <c r="AJ73" s="4">
        <f t="shared" si="75"/>
        <v>24.489999999999988</v>
      </c>
      <c r="AK73" s="4">
        <f t="shared" si="77"/>
        <v>17</v>
      </c>
      <c r="AL73" s="4">
        <f t="shared" si="67"/>
        <v>0</v>
      </c>
      <c r="AM73" s="4">
        <f t="shared" si="29"/>
        <v>0</v>
      </c>
      <c r="AN73" s="4">
        <f t="shared" si="30"/>
        <v>0</v>
      </c>
      <c r="AO73" s="4">
        <f t="shared" si="31"/>
        <v>0</v>
      </c>
      <c r="AP73" s="4">
        <f t="shared" si="32"/>
        <v>0</v>
      </c>
      <c r="AQ73" s="4">
        <f t="shared" si="33"/>
        <v>0</v>
      </c>
      <c r="AR73" s="4">
        <f t="shared" si="34"/>
        <v>0</v>
      </c>
      <c r="AS73" s="4">
        <f t="shared" si="35"/>
        <v>0</v>
      </c>
      <c r="AT73" s="4">
        <f t="shared" si="36"/>
        <v>0</v>
      </c>
      <c r="AU73" s="4">
        <f t="shared" si="37"/>
        <v>0</v>
      </c>
      <c r="AV73" s="4">
        <f t="shared" si="38"/>
        <v>0</v>
      </c>
      <c r="AW73" s="4">
        <f t="shared" si="39"/>
        <v>0</v>
      </c>
      <c r="AX73" s="4">
        <f t="shared" si="40"/>
        <v>0</v>
      </c>
      <c r="AY73" s="4">
        <f t="shared" si="41"/>
        <v>0</v>
      </c>
      <c r="AZ73" s="4">
        <f t="shared" si="42"/>
        <v>0</v>
      </c>
      <c r="BA73" s="4">
        <f t="shared" si="43"/>
        <v>0</v>
      </c>
      <c r="BB73" s="4">
        <f t="shared" si="44"/>
        <v>17</v>
      </c>
      <c r="BC73" s="4">
        <f t="shared" si="45"/>
        <v>0</v>
      </c>
      <c r="BD73" s="4">
        <f t="shared" si="46"/>
        <v>0</v>
      </c>
      <c r="BE73" s="4">
        <f t="shared" si="47"/>
        <v>0</v>
      </c>
      <c r="BF73" s="4">
        <f t="shared" si="48"/>
        <v>0</v>
      </c>
    </row>
    <row r="74" spans="1:58">
      <c r="A74" s="4">
        <f>MIN(StopFreqGHz+0.000001,FieldFox!A73+FreqStep)</f>
        <v>26.500001000000001</v>
      </c>
      <c r="B74" s="4">
        <f t="shared" si="68"/>
        <v>-152</v>
      </c>
      <c r="C74" s="4">
        <f t="shared" si="69"/>
        <v>2</v>
      </c>
      <c r="D74" s="4">
        <f t="shared" si="70"/>
        <v>0.33333333333333331</v>
      </c>
      <c r="E74" s="86">
        <f>NseMeas!H74</f>
        <v>438.4470651377784</v>
      </c>
      <c r="F74" s="4">
        <f t="shared" si="71"/>
        <v>4.0000000000000009</v>
      </c>
      <c r="G74" s="4">
        <f t="shared" si="72"/>
        <v>20</v>
      </c>
      <c r="H74" s="88">
        <f>10*LOG10(P1dbBWghz*1000000000*NseMeas!J74/NseMeas!BW)</f>
        <v>-28.652597449359142</v>
      </c>
      <c r="I74" s="4" t="b">
        <f t="shared" si="73"/>
        <v>0</v>
      </c>
      <c r="J74" s="87">
        <f>MAX(NseMeas!T74,K74/1000)</f>
        <v>825664854.90636683</v>
      </c>
      <c r="K74" s="87">
        <f>NseMeas!S74</f>
        <v>1844875354.154526</v>
      </c>
      <c r="L74" s="87">
        <f>NseMeas!X74</f>
        <v>1019210499.2481589</v>
      </c>
      <c r="M74" s="88">
        <f t="shared" si="58"/>
        <v>43.163202203876551</v>
      </c>
      <c r="N74" s="87">
        <f>4*K74*NseMeas!K74*Jitter1H1s/SQRT($BZ$4)</f>
        <v>2.283887131344474</v>
      </c>
      <c r="O74" s="4">
        <f t="shared" si="59"/>
        <v>0.2</v>
      </c>
      <c r="P74" s="4">
        <f t="shared" si="60"/>
        <v>0.1</v>
      </c>
      <c r="Q74" s="86">
        <f>MAX(0.1,P74/(1+(NseMeas!J74*J74/(NseMeas!L74*L74))))</f>
        <v>0.1</v>
      </c>
      <c r="R74" s="86">
        <f>MAX(0.1,P74/(1+((NseMeas!L74*L74)/(NseMeas!J74*J74))))</f>
        <v>0.1</v>
      </c>
      <c r="S74" s="87">
        <f>MAX(Calibration!Q74,T74/1000)</f>
        <v>6.4485344474614736E-2</v>
      </c>
      <c r="T74" s="87">
        <f>Calibration!P74</f>
        <v>1.0644853444746147</v>
      </c>
      <c r="U74" s="87">
        <f>ABS(Calibration!S74)</f>
        <v>1</v>
      </c>
      <c r="V74" s="88">
        <f>T_0*(10^((O74+DashBoard!$N$6)/10)-1)-N74</f>
        <v>48.436403801119091</v>
      </c>
      <c r="W74" s="87">
        <f>4*T74*NseMeas!T74*Jitter1H1s/SQRT($BZ$4)</f>
        <v>1488536.0455197236</v>
      </c>
      <c r="X74" s="4">
        <f t="shared" si="76"/>
        <v>944441210.55747628</v>
      </c>
      <c r="Y74" s="4">
        <f>MIN(DashBoard!$N$5/2, X74/2)</f>
        <v>5.5</v>
      </c>
      <c r="Z74" s="86">
        <f>MAX(0.1,Y74/(1+(Calibration!H74*S74/(Calibration!J74*U74))))</f>
        <v>2.1052992355230069</v>
      </c>
      <c r="AA74" s="86">
        <f>MAX(0.1,Y74/(1+((Calibration!J74*U74)/(Calibration!H74*S74))))</f>
        <v>3.3947007644769931</v>
      </c>
      <c r="AC74" s="4">
        <f t="shared" si="61"/>
        <v>3.3947007644769931</v>
      </c>
      <c r="AD74" s="4">
        <f t="shared" si="62"/>
        <v>5.5</v>
      </c>
      <c r="AE74" s="4">
        <f t="shared" si="63"/>
        <v>2.1052992355230069</v>
      </c>
      <c r="AF74" s="4">
        <f t="shared" si="64"/>
        <v>0.1</v>
      </c>
      <c r="AG74" s="4">
        <f t="shared" si="65"/>
        <v>0.1</v>
      </c>
      <c r="AH74" s="4">
        <f t="shared" si="66"/>
        <v>0.1</v>
      </c>
      <c r="AI74" s="4">
        <f t="shared" si="74"/>
        <v>0.30000000000000004</v>
      </c>
      <c r="AJ74" s="4">
        <f t="shared" si="75"/>
        <v>24.489999999999988</v>
      </c>
      <c r="AK74" s="4">
        <f t="shared" si="77"/>
        <v>17</v>
      </c>
      <c r="AL74" s="4">
        <f t="shared" si="67"/>
        <v>0</v>
      </c>
      <c r="AM74" s="4">
        <f t="shared" ref="AM74:AM106" si="78">2*AND($A74&gt;=$BH$5,$A74&lt;$BI$5)</f>
        <v>0</v>
      </c>
      <c r="AN74" s="4">
        <f t="shared" ref="AN74:AN106" si="79">3*AND($A74&gt;=$BH$6,$A74&lt;$BI$6)</f>
        <v>0</v>
      </c>
      <c r="AO74" s="4">
        <f t="shared" ref="AO74:AO106" si="80">4*AND($A74&gt;=$BH$7,$A74&lt;$BI$7)</f>
        <v>0</v>
      </c>
      <c r="AP74" s="4">
        <f t="shared" ref="AP74:AP106" si="81">5*AND($A74&gt;=$BH$8,$A74&lt;$BI$8)</f>
        <v>0</v>
      </c>
      <c r="AQ74" s="4">
        <f t="shared" ref="AQ74:AQ106" si="82">6*AND($A74&gt;=$BH$9,$A74&lt;$BI$9)</f>
        <v>0</v>
      </c>
      <c r="AR74" s="4">
        <f t="shared" ref="AR74:AR106" si="83">7*AND($A74&gt;=$BH$10,$A74&lt;$BI$10)</f>
        <v>0</v>
      </c>
      <c r="AS74" s="4">
        <f t="shared" ref="AS74:AS106" si="84">8*AND($A74&gt;=$BH$11,$A74&lt;$BI$11)</f>
        <v>0</v>
      </c>
      <c r="AT74" s="4">
        <f t="shared" ref="AT74:AT106" si="85">9*AND($A74&gt;=$BH$12,$A74&lt;$BI$12)</f>
        <v>0</v>
      </c>
      <c r="AU74" s="4">
        <f t="shared" ref="AU74:AU106" si="86">10*AND($A74&gt;=$BH$13,$A74&lt;$BI$13)</f>
        <v>0</v>
      </c>
      <c r="AV74" s="4">
        <f t="shared" ref="AV74:AV106" si="87">AV$4*AND($A74&gt;=$BH$14,$A74&lt;$BI$14)</f>
        <v>0</v>
      </c>
      <c r="AW74" s="4">
        <f t="shared" ref="AW74:AW106" si="88">AW$4*AND($A74&gt;=$BH$15,$A74&lt;$BI$15)</f>
        <v>0</v>
      </c>
      <c r="AX74" s="4">
        <f t="shared" ref="AX74:AX106" si="89">AX$4*AND($A74&gt;=$BH$16,$A74&lt;$BI$16)</f>
        <v>0</v>
      </c>
      <c r="AY74" s="4">
        <f t="shared" ref="AY74:AY106" si="90">AY$4*AND($A74&gt;=$BH$17,$A74&lt;$BI$17)</f>
        <v>0</v>
      </c>
      <c r="AZ74" s="4">
        <f t="shared" ref="AZ74:AZ106" si="91">AZ$4*AND($A74&gt;=$BH$18,$A74&lt;$BI$18)</f>
        <v>0</v>
      </c>
      <c r="BA74" s="4">
        <f t="shared" ref="BA74:BA106" si="92">BA$4*AND($A74&gt;=$BH$19,$A74&lt;$BI$19)</f>
        <v>0</v>
      </c>
      <c r="BB74" s="4">
        <f t="shared" ref="BB74:BB106" si="93">BB$4*AND($A74&gt;=$BH$20,$A74&lt;$BI$20)</f>
        <v>17</v>
      </c>
      <c r="BC74" s="4">
        <f t="shared" ref="BC74:BC106" si="94">BC$4*AND($A74&gt;=$BH$21,$A74&lt;$BI$21)</f>
        <v>0</v>
      </c>
      <c r="BD74" s="4">
        <f t="shared" ref="BD74:BD106" si="95">BD$4*AND($A74&gt;=$BH$22,$A74&lt;$BI$22)</f>
        <v>0</v>
      </c>
      <c r="BE74" s="4">
        <f t="shared" ref="BE74:BE106" si="96">BE$4*AND($A74&gt;=$BH$23,$A74&lt;$BI$23)</f>
        <v>0</v>
      </c>
      <c r="BF74" s="4">
        <f t="shared" ref="BF74:BF106" si="97">BF$4*AND($A74&gt;=$BH$24,$A74&lt;$BI$24)</f>
        <v>0</v>
      </c>
    </row>
    <row r="75" spans="1:58">
      <c r="A75" s="4">
        <f>MIN(StopFreqGHz+0.000001,FieldFox!A74+FreqStep)</f>
        <v>26.500001000000001</v>
      </c>
      <c r="B75" s="4">
        <f t="shared" si="68"/>
        <v>-152</v>
      </c>
      <c r="C75" s="4">
        <f t="shared" si="69"/>
        <v>2</v>
      </c>
      <c r="D75" s="4">
        <f t="shared" si="70"/>
        <v>0.33333333333333331</v>
      </c>
      <c r="E75" s="86">
        <f>NseMeas!H75</f>
        <v>438.4470651377784</v>
      </c>
      <c r="F75" s="4">
        <f t="shared" si="71"/>
        <v>4.0000000000000009</v>
      </c>
      <c r="G75" s="4">
        <f t="shared" si="72"/>
        <v>20</v>
      </c>
      <c r="H75" s="88">
        <f>10*LOG10(P1dbBWghz*1000000000*NseMeas!J75/NseMeas!BW)</f>
        <v>-28.652597449359142</v>
      </c>
      <c r="I75" s="4" t="b">
        <f t="shared" si="73"/>
        <v>0</v>
      </c>
      <c r="J75" s="87">
        <f>MAX(NseMeas!T75,K75/1000)</f>
        <v>825664854.90636683</v>
      </c>
      <c r="K75" s="87">
        <f>NseMeas!S75</f>
        <v>1844875354.154526</v>
      </c>
      <c r="L75" s="87">
        <f>NseMeas!X75</f>
        <v>1019210499.2481589</v>
      </c>
      <c r="M75" s="88">
        <f t="shared" si="58"/>
        <v>43.163202203876551</v>
      </c>
      <c r="N75" s="87">
        <f>4*K75*NseMeas!K75*Jitter1H1s/SQRT($BZ$4)</f>
        <v>2.283887131344474</v>
      </c>
      <c r="O75" s="4">
        <f t="shared" si="59"/>
        <v>0.2</v>
      </c>
      <c r="P75" s="4">
        <f t="shared" si="60"/>
        <v>0.1</v>
      </c>
      <c r="Q75" s="86">
        <f>MAX(0.1,P75/(1+(NseMeas!J75*J75/(NseMeas!L75*L75))))</f>
        <v>0.1</v>
      </c>
      <c r="R75" s="86">
        <f>MAX(0.1,P75/(1+((NseMeas!L75*L75)/(NseMeas!J75*J75))))</f>
        <v>0.1</v>
      </c>
      <c r="S75" s="87">
        <f>MAX(Calibration!Q75,T75/1000)</f>
        <v>6.4485344474614736E-2</v>
      </c>
      <c r="T75" s="87">
        <f>Calibration!P75</f>
        <v>1.0644853444746147</v>
      </c>
      <c r="U75" s="87">
        <f>ABS(Calibration!S75)</f>
        <v>1</v>
      </c>
      <c r="V75" s="88">
        <f>T_0*(10^((O75+DashBoard!$N$6)/10)-1)-N75</f>
        <v>48.436403801119091</v>
      </c>
      <c r="W75" s="87">
        <f>4*T75*NseMeas!T75*Jitter1H1s/SQRT($BZ$4)</f>
        <v>1488536.0455197236</v>
      </c>
      <c r="X75" s="4">
        <f t="shared" si="76"/>
        <v>944441210.55747628</v>
      </c>
      <c r="Y75" s="4">
        <f>MIN(DashBoard!$N$5/2, X75/2)</f>
        <v>5.5</v>
      </c>
      <c r="Z75" s="86">
        <f>MAX(0.1,Y75/(1+(Calibration!H75*S75/(Calibration!J75*U75))))</f>
        <v>2.1052992355230069</v>
      </c>
      <c r="AA75" s="86">
        <f>MAX(0.1,Y75/(1+((Calibration!J75*U75)/(Calibration!H75*S75))))</f>
        <v>3.3947007644769931</v>
      </c>
      <c r="AC75" s="4">
        <f t="shared" si="61"/>
        <v>3.3947007644769931</v>
      </c>
      <c r="AD75" s="4">
        <f t="shared" si="62"/>
        <v>5.5</v>
      </c>
      <c r="AE75" s="4">
        <f t="shared" si="63"/>
        <v>2.1052992355230069</v>
      </c>
      <c r="AF75" s="4">
        <f t="shared" si="64"/>
        <v>0.1</v>
      </c>
      <c r="AG75" s="4">
        <f t="shared" si="65"/>
        <v>0.1</v>
      </c>
      <c r="AH75" s="4">
        <f t="shared" si="66"/>
        <v>0.1</v>
      </c>
      <c r="AI75" s="4">
        <f t="shared" si="74"/>
        <v>0.30000000000000004</v>
      </c>
      <c r="AJ75" s="4">
        <f t="shared" si="75"/>
        <v>24.489999999999988</v>
      </c>
      <c r="AK75" s="4">
        <f t="shared" si="77"/>
        <v>17</v>
      </c>
      <c r="AL75" s="4">
        <f t="shared" si="67"/>
        <v>0</v>
      </c>
      <c r="AM75" s="4">
        <f t="shared" si="78"/>
        <v>0</v>
      </c>
      <c r="AN75" s="4">
        <f t="shared" si="79"/>
        <v>0</v>
      </c>
      <c r="AO75" s="4">
        <f t="shared" si="80"/>
        <v>0</v>
      </c>
      <c r="AP75" s="4">
        <f t="shared" si="81"/>
        <v>0</v>
      </c>
      <c r="AQ75" s="4">
        <f t="shared" si="82"/>
        <v>0</v>
      </c>
      <c r="AR75" s="4">
        <f t="shared" si="83"/>
        <v>0</v>
      </c>
      <c r="AS75" s="4">
        <f t="shared" si="84"/>
        <v>0</v>
      </c>
      <c r="AT75" s="4">
        <f t="shared" si="85"/>
        <v>0</v>
      </c>
      <c r="AU75" s="4">
        <f t="shared" si="86"/>
        <v>0</v>
      </c>
      <c r="AV75" s="4">
        <f t="shared" si="87"/>
        <v>0</v>
      </c>
      <c r="AW75" s="4">
        <f t="shared" si="88"/>
        <v>0</v>
      </c>
      <c r="AX75" s="4">
        <f t="shared" si="89"/>
        <v>0</v>
      </c>
      <c r="AY75" s="4">
        <f t="shared" si="90"/>
        <v>0</v>
      </c>
      <c r="AZ75" s="4">
        <f t="shared" si="91"/>
        <v>0</v>
      </c>
      <c r="BA75" s="4">
        <f t="shared" si="92"/>
        <v>0</v>
      </c>
      <c r="BB75" s="4">
        <f t="shared" si="93"/>
        <v>17</v>
      </c>
      <c r="BC75" s="4">
        <f t="shared" si="94"/>
        <v>0</v>
      </c>
      <c r="BD75" s="4">
        <f t="shared" si="95"/>
        <v>0</v>
      </c>
      <c r="BE75" s="4">
        <f t="shared" si="96"/>
        <v>0</v>
      </c>
      <c r="BF75" s="4">
        <f t="shared" si="97"/>
        <v>0</v>
      </c>
    </row>
    <row r="76" spans="1:58">
      <c r="A76" s="4">
        <f>MIN(StopFreqGHz+0.000001,FieldFox!A75+FreqStep)</f>
        <v>26.500001000000001</v>
      </c>
      <c r="B76" s="4">
        <f t="shared" si="68"/>
        <v>-152</v>
      </c>
      <c r="C76" s="4">
        <f t="shared" si="69"/>
        <v>2</v>
      </c>
      <c r="D76" s="4">
        <f t="shared" si="70"/>
        <v>0.33333333333333331</v>
      </c>
      <c r="E76" s="86">
        <f>NseMeas!H76</f>
        <v>438.4470651377784</v>
      </c>
      <c r="F76" s="4">
        <f t="shared" si="71"/>
        <v>4.0000000000000009</v>
      </c>
      <c r="G76" s="4">
        <f t="shared" si="72"/>
        <v>20</v>
      </c>
      <c r="H76" s="88">
        <f>10*LOG10(P1dbBWghz*1000000000*NseMeas!J76/NseMeas!BW)</f>
        <v>-28.652597449359142</v>
      </c>
      <c r="I76" s="4" t="b">
        <f t="shared" si="73"/>
        <v>0</v>
      </c>
      <c r="J76" s="87">
        <f>MAX(NseMeas!T76,K76/1000)</f>
        <v>825664854.90636683</v>
      </c>
      <c r="K76" s="87">
        <f>NseMeas!S76</f>
        <v>1844875354.154526</v>
      </c>
      <c r="L76" s="87">
        <f>NseMeas!X76</f>
        <v>1019210499.2481589</v>
      </c>
      <c r="M76" s="88">
        <f t="shared" si="58"/>
        <v>43.163202203876551</v>
      </c>
      <c r="N76" s="87">
        <f>4*K76*NseMeas!K76*Jitter1H1s/SQRT($BZ$4)</f>
        <v>2.283887131344474</v>
      </c>
      <c r="O76" s="4">
        <f t="shared" si="59"/>
        <v>0.2</v>
      </c>
      <c r="P76" s="4">
        <f t="shared" si="60"/>
        <v>0.1</v>
      </c>
      <c r="Q76" s="86">
        <f>MAX(0.1,P76/(1+(NseMeas!J76*J76/(NseMeas!L76*L76))))</f>
        <v>0.1</v>
      </c>
      <c r="R76" s="86">
        <f>MAX(0.1,P76/(1+((NseMeas!L76*L76)/(NseMeas!J76*J76))))</f>
        <v>0.1</v>
      </c>
      <c r="S76" s="87">
        <f>MAX(Calibration!Q76,T76/1000)</f>
        <v>6.4485344474614736E-2</v>
      </c>
      <c r="T76" s="87">
        <f>Calibration!P76</f>
        <v>1.0644853444746147</v>
      </c>
      <c r="U76" s="87">
        <f>ABS(Calibration!S76)</f>
        <v>1</v>
      </c>
      <c r="V76" s="88">
        <f>T_0*(10^((O76+DashBoard!$N$6)/10)-1)-N76</f>
        <v>48.436403801119091</v>
      </c>
      <c r="W76" s="87">
        <f>4*T76*NseMeas!T76*Jitter1H1s/SQRT($BZ$4)</f>
        <v>1488536.0455197236</v>
      </c>
      <c r="X76" s="4">
        <f t="shared" si="76"/>
        <v>944441210.55747628</v>
      </c>
      <c r="Y76" s="4">
        <f>MIN(DashBoard!$N$5/2, X76/2)</f>
        <v>5.5</v>
      </c>
      <c r="Z76" s="86">
        <f>MAX(0.1,Y76/(1+(Calibration!H76*S76/(Calibration!J76*U76))))</f>
        <v>2.1052992355230069</v>
      </c>
      <c r="AA76" s="86">
        <f>MAX(0.1,Y76/(1+((Calibration!J76*U76)/(Calibration!H76*S76))))</f>
        <v>3.3947007644769931</v>
      </c>
      <c r="AC76" s="4">
        <f t="shared" si="61"/>
        <v>3.3947007644769931</v>
      </c>
      <c r="AD76" s="4">
        <f t="shared" si="62"/>
        <v>5.5</v>
      </c>
      <c r="AE76" s="4">
        <f t="shared" si="63"/>
        <v>2.1052992355230069</v>
      </c>
      <c r="AF76" s="4">
        <f t="shared" si="64"/>
        <v>0.1</v>
      </c>
      <c r="AG76" s="4">
        <f t="shared" si="65"/>
        <v>0.1</v>
      </c>
      <c r="AH76" s="4">
        <f t="shared" si="66"/>
        <v>0.1</v>
      </c>
      <c r="AI76" s="4">
        <f t="shared" si="74"/>
        <v>0.30000000000000004</v>
      </c>
      <c r="AJ76" s="4">
        <f t="shared" si="75"/>
        <v>24.489999999999988</v>
      </c>
      <c r="AK76" s="4">
        <f t="shared" si="77"/>
        <v>17</v>
      </c>
      <c r="AL76" s="4">
        <f t="shared" si="67"/>
        <v>0</v>
      </c>
      <c r="AM76" s="4">
        <f t="shared" si="78"/>
        <v>0</v>
      </c>
      <c r="AN76" s="4">
        <f t="shared" si="79"/>
        <v>0</v>
      </c>
      <c r="AO76" s="4">
        <f t="shared" si="80"/>
        <v>0</v>
      </c>
      <c r="AP76" s="4">
        <f t="shared" si="81"/>
        <v>0</v>
      </c>
      <c r="AQ76" s="4">
        <f t="shared" si="82"/>
        <v>0</v>
      </c>
      <c r="AR76" s="4">
        <f t="shared" si="83"/>
        <v>0</v>
      </c>
      <c r="AS76" s="4">
        <f t="shared" si="84"/>
        <v>0</v>
      </c>
      <c r="AT76" s="4">
        <f t="shared" si="85"/>
        <v>0</v>
      </c>
      <c r="AU76" s="4">
        <f t="shared" si="86"/>
        <v>0</v>
      </c>
      <c r="AV76" s="4">
        <f t="shared" si="87"/>
        <v>0</v>
      </c>
      <c r="AW76" s="4">
        <f t="shared" si="88"/>
        <v>0</v>
      </c>
      <c r="AX76" s="4">
        <f t="shared" si="89"/>
        <v>0</v>
      </c>
      <c r="AY76" s="4">
        <f t="shared" si="90"/>
        <v>0</v>
      </c>
      <c r="AZ76" s="4">
        <f t="shared" si="91"/>
        <v>0</v>
      </c>
      <c r="BA76" s="4">
        <f t="shared" si="92"/>
        <v>0</v>
      </c>
      <c r="BB76" s="4">
        <f t="shared" si="93"/>
        <v>17</v>
      </c>
      <c r="BC76" s="4">
        <f t="shared" si="94"/>
        <v>0</v>
      </c>
      <c r="BD76" s="4">
        <f t="shared" si="95"/>
        <v>0</v>
      </c>
      <c r="BE76" s="4">
        <f t="shared" si="96"/>
        <v>0</v>
      </c>
      <c r="BF76" s="4">
        <f t="shared" si="97"/>
        <v>0</v>
      </c>
    </row>
    <row r="77" spans="1:58">
      <c r="A77" s="4">
        <f>MIN(StopFreqGHz+0.000001,FieldFox!A76+FreqStep)</f>
        <v>26.500001000000001</v>
      </c>
      <c r="B77" s="4">
        <f t="shared" si="68"/>
        <v>-152</v>
      </c>
      <c r="C77" s="4">
        <f t="shared" si="69"/>
        <v>2</v>
      </c>
      <c r="D77" s="4">
        <f t="shared" si="70"/>
        <v>0.33333333333333331</v>
      </c>
      <c r="E77" s="86">
        <f>NseMeas!H77</f>
        <v>438.4470651377784</v>
      </c>
      <c r="F77" s="4">
        <f t="shared" si="71"/>
        <v>4.0000000000000009</v>
      </c>
      <c r="G77" s="4">
        <f t="shared" si="72"/>
        <v>20</v>
      </c>
      <c r="H77" s="88">
        <f>10*LOG10(P1dbBWghz*1000000000*NseMeas!J77/NseMeas!BW)</f>
        <v>-28.652597449359142</v>
      </c>
      <c r="I77" s="4" t="b">
        <f t="shared" si="73"/>
        <v>0</v>
      </c>
      <c r="J77" s="87">
        <f>MAX(NseMeas!T77,K77/1000)</f>
        <v>825664854.90636683</v>
      </c>
      <c r="K77" s="87">
        <f>NseMeas!S77</f>
        <v>1844875354.154526</v>
      </c>
      <c r="L77" s="87">
        <f>NseMeas!X77</f>
        <v>1019210499.2481589</v>
      </c>
      <c r="M77" s="88">
        <f t="shared" si="58"/>
        <v>43.163202203876551</v>
      </c>
      <c r="N77" s="87">
        <f>4*K77*NseMeas!K77*Jitter1H1s/SQRT($BZ$4)</f>
        <v>2.283887131344474</v>
      </c>
      <c r="O77" s="4">
        <f t="shared" si="59"/>
        <v>0.2</v>
      </c>
      <c r="P77" s="4">
        <f t="shared" si="60"/>
        <v>0.1</v>
      </c>
      <c r="Q77" s="86">
        <f>MAX(0.1,P77/(1+(NseMeas!J77*J77/(NseMeas!L77*L77))))</f>
        <v>0.1</v>
      </c>
      <c r="R77" s="86">
        <f>MAX(0.1,P77/(1+((NseMeas!L77*L77)/(NseMeas!J77*J77))))</f>
        <v>0.1</v>
      </c>
      <c r="S77" s="87">
        <f>MAX(Calibration!Q77,T77/1000)</f>
        <v>6.4485344474614736E-2</v>
      </c>
      <c r="T77" s="87">
        <f>Calibration!P77</f>
        <v>1.0644853444746147</v>
      </c>
      <c r="U77" s="87">
        <f>ABS(Calibration!S77)</f>
        <v>1</v>
      </c>
      <c r="V77" s="88">
        <f>T_0*(10^((O77+DashBoard!$N$6)/10)-1)-N77</f>
        <v>48.436403801119091</v>
      </c>
      <c r="W77" s="87">
        <f>4*T77*NseMeas!T77*Jitter1H1s/SQRT($BZ$4)</f>
        <v>1488536.0455197236</v>
      </c>
      <c r="X77" s="4">
        <f t="shared" si="76"/>
        <v>944441210.55747628</v>
      </c>
      <c r="Y77" s="4">
        <f>MIN(DashBoard!$N$5/2, X77/2)</f>
        <v>5.5</v>
      </c>
      <c r="Z77" s="86">
        <f>MAX(0.1,Y77/(1+(Calibration!H77*S77/(Calibration!J77*U77))))</f>
        <v>2.1052992355230069</v>
      </c>
      <c r="AA77" s="86">
        <f>MAX(0.1,Y77/(1+((Calibration!J77*U77)/(Calibration!H77*S77))))</f>
        <v>3.3947007644769931</v>
      </c>
      <c r="AC77" s="4">
        <f t="shared" si="61"/>
        <v>3.3947007644769931</v>
      </c>
      <c r="AD77" s="4">
        <f t="shared" si="62"/>
        <v>5.5</v>
      </c>
      <c r="AE77" s="4">
        <f t="shared" si="63"/>
        <v>2.1052992355230069</v>
      </c>
      <c r="AF77" s="4">
        <f t="shared" si="64"/>
        <v>0.1</v>
      </c>
      <c r="AG77" s="4">
        <f t="shared" si="65"/>
        <v>0.1</v>
      </c>
      <c r="AH77" s="4">
        <f t="shared" si="66"/>
        <v>0.1</v>
      </c>
      <c r="AI77" s="4">
        <f t="shared" si="74"/>
        <v>0.30000000000000004</v>
      </c>
      <c r="AJ77" s="4">
        <f t="shared" si="75"/>
        <v>24.489999999999988</v>
      </c>
      <c r="AK77" s="4">
        <f t="shared" si="77"/>
        <v>17</v>
      </c>
      <c r="AL77" s="4">
        <f t="shared" si="67"/>
        <v>0</v>
      </c>
      <c r="AM77" s="4">
        <f t="shared" si="78"/>
        <v>0</v>
      </c>
      <c r="AN77" s="4">
        <f t="shared" si="79"/>
        <v>0</v>
      </c>
      <c r="AO77" s="4">
        <f t="shared" si="80"/>
        <v>0</v>
      </c>
      <c r="AP77" s="4">
        <f t="shared" si="81"/>
        <v>0</v>
      </c>
      <c r="AQ77" s="4">
        <f t="shared" si="82"/>
        <v>0</v>
      </c>
      <c r="AR77" s="4">
        <f t="shared" si="83"/>
        <v>0</v>
      </c>
      <c r="AS77" s="4">
        <f t="shared" si="84"/>
        <v>0</v>
      </c>
      <c r="AT77" s="4">
        <f t="shared" si="85"/>
        <v>0</v>
      </c>
      <c r="AU77" s="4">
        <f t="shared" si="86"/>
        <v>0</v>
      </c>
      <c r="AV77" s="4">
        <f t="shared" si="87"/>
        <v>0</v>
      </c>
      <c r="AW77" s="4">
        <f t="shared" si="88"/>
        <v>0</v>
      </c>
      <c r="AX77" s="4">
        <f t="shared" si="89"/>
        <v>0</v>
      </c>
      <c r="AY77" s="4">
        <f t="shared" si="90"/>
        <v>0</v>
      </c>
      <c r="AZ77" s="4">
        <f t="shared" si="91"/>
        <v>0</v>
      </c>
      <c r="BA77" s="4">
        <f t="shared" si="92"/>
        <v>0</v>
      </c>
      <c r="BB77" s="4">
        <f t="shared" si="93"/>
        <v>17</v>
      </c>
      <c r="BC77" s="4">
        <f t="shared" si="94"/>
        <v>0</v>
      </c>
      <c r="BD77" s="4">
        <f t="shared" si="95"/>
        <v>0</v>
      </c>
      <c r="BE77" s="4">
        <f t="shared" si="96"/>
        <v>0</v>
      </c>
      <c r="BF77" s="4">
        <f t="shared" si="97"/>
        <v>0</v>
      </c>
    </row>
    <row r="78" spans="1:58">
      <c r="A78" s="4">
        <f>MIN(StopFreqGHz+0.000001,FieldFox!A77+FreqStep)</f>
        <v>26.500001000000001</v>
      </c>
      <c r="B78" s="4">
        <f t="shared" si="68"/>
        <v>-152</v>
      </c>
      <c r="C78" s="4">
        <f t="shared" si="69"/>
        <v>2</v>
      </c>
      <c r="D78" s="4">
        <f t="shared" si="70"/>
        <v>0.33333333333333331</v>
      </c>
      <c r="E78" s="86">
        <f>NseMeas!H78</f>
        <v>438.4470651377784</v>
      </c>
      <c r="F78" s="4">
        <f t="shared" si="71"/>
        <v>4.0000000000000009</v>
      </c>
      <c r="G78" s="4">
        <f t="shared" si="72"/>
        <v>20</v>
      </c>
      <c r="H78" s="88">
        <f>10*LOG10(P1dbBWghz*1000000000*NseMeas!J78/NseMeas!BW)</f>
        <v>-28.652597449359142</v>
      </c>
      <c r="I78" s="4" t="b">
        <f t="shared" si="73"/>
        <v>0</v>
      </c>
      <c r="J78" s="87">
        <f>MAX(NseMeas!T78,K78/1000)</f>
        <v>825664854.90636683</v>
      </c>
      <c r="K78" s="87">
        <f>NseMeas!S78</f>
        <v>1844875354.154526</v>
      </c>
      <c r="L78" s="87">
        <f>NseMeas!X78</f>
        <v>1019210499.2481589</v>
      </c>
      <c r="M78" s="88">
        <f t="shared" si="58"/>
        <v>43.163202203876551</v>
      </c>
      <c r="N78" s="87">
        <f>4*K78*NseMeas!K78*Jitter1H1s/SQRT($BZ$4)</f>
        <v>2.283887131344474</v>
      </c>
      <c r="O78" s="4">
        <f t="shared" si="59"/>
        <v>0.2</v>
      </c>
      <c r="P78" s="4">
        <f t="shared" si="60"/>
        <v>0.1</v>
      </c>
      <c r="Q78" s="86">
        <f>MAX(0.1,P78/(1+(NseMeas!J78*J78/(NseMeas!L78*L78))))</f>
        <v>0.1</v>
      </c>
      <c r="R78" s="86">
        <f>MAX(0.1,P78/(1+((NseMeas!L78*L78)/(NseMeas!J78*J78))))</f>
        <v>0.1</v>
      </c>
      <c r="S78" s="87">
        <f>MAX(Calibration!Q78,T78/1000)</f>
        <v>6.4485344474614736E-2</v>
      </c>
      <c r="T78" s="87">
        <f>Calibration!P78</f>
        <v>1.0644853444746147</v>
      </c>
      <c r="U78" s="87">
        <f>ABS(Calibration!S78)</f>
        <v>1</v>
      </c>
      <c r="V78" s="88">
        <f>T_0*(10^((O78+DashBoard!$N$6)/10)-1)-N78</f>
        <v>48.436403801119091</v>
      </c>
      <c r="W78" s="87">
        <f>4*T78*NseMeas!T78*Jitter1H1s/SQRT($BZ$4)</f>
        <v>1488536.0455197236</v>
      </c>
      <c r="X78" s="4">
        <f t="shared" si="76"/>
        <v>944441210.55747628</v>
      </c>
      <c r="Y78" s="4">
        <f>MIN(DashBoard!$N$5/2, X78/2)</f>
        <v>5.5</v>
      </c>
      <c r="Z78" s="86">
        <f>MAX(0.1,Y78/(1+(Calibration!H78*S78/(Calibration!J78*U78))))</f>
        <v>2.1052992355230069</v>
      </c>
      <c r="AA78" s="86">
        <f>MAX(0.1,Y78/(1+((Calibration!J78*U78)/(Calibration!H78*S78))))</f>
        <v>3.3947007644769931</v>
      </c>
      <c r="AC78" s="4">
        <f t="shared" si="61"/>
        <v>3.3947007644769931</v>
      </c>
      <c r="AD78" s="4">
        <f t="shared" si="62"/>
        <v>5.5</v>
      </c>
      <c r="AE78" s="4">
        <f t="shared" si="63"/>
        <v>2.1052992355230069</v>
      </c>
      <c r="AF78" s="4">
        <f t="shared" si="64"/>
        <v>0.1</v>
      </c>
      <c r="AG78" s="4">
        <f t="shared" si="65"/>
        <v>0.1</v>
      </c>
      <c r="AH78" s="4">
        <f t="shared" si="66"/>
        <v>0.1</v>
      </c>
      <c r="AI78" s="4">
        <f t="shared" si="74"/>
        <v>0.30000000000000004</v>
      </c>
      <c r="AJ78" s="4">
        <f t="shared" si="75"/>
        <v>24.489999999999988</v>
      </c>
      <c r="AK78" s="4">
        <f t="shared" si="77"/>
        <v>17</v>
      </c>
      <c r="AL78" s="4">
        <f t="shared" si="67"/>
        <v>0</v>
      </c>
      <c r="AM78" s="4">
        <f t="shared" si="78"/>
        <v>0</v>
      </c>
      <c r="AN78" s="4">
        <f t="shared" si="79"/>
        <v>0</v>
      </c>
      <c r="AO78" s="4">
        <f t="shared" si="80"/>
        <v>0</v>
      </c>
      <c r="AP78" s="4">
        <f t="shared" si="81"/>
        <v>0</v>
      </c>
      <c r="AQ78" s="4">
        <f t="shared" si="82"/>
        <v>0</v>
      </c>
      <c r="AR78" s="4">
        <f t="shared" si="83"/>
        <v>0</v>
      </c>
      <c r="AS78" s="4">
        <f t="shared" si="84"/>
        <v>0</v>
      </c>
      <c r="AT78" s="4">
        <f t="shared" si="85"/>
        <v>0</v>
      </c>
      <c r="AU78" s="4">
        <f t="shared" si="86"/>
        <v>0</v>
      </c>
      <c r="AV78" s="4">
        <f t="shared" si="87"/>
        <v>0</v>
      </c>
      <c r="AW78" s="4">
        <f t="shared" si="88"/>
        <v>0</v>
      </c>
      <c r="AX78" s="4">
        <f t="shared" si="89"/>
        <v>0</v>
      </c>
      <c r="AY78" s="4">
        <f t="shared" si="90"/>
        <v>0</v>
      </c>
      <c r="AZ78" s="4">
        <f t="shared" si="91"/>
        <v>0</v>
      </c>
      <c r="BA78" s="4">
        <f t="shared" si="92"/>
        <v>0</v>
      </c>
      <c r="BB78" s="4">
        <f t="shared" si="93"/>
        <v>17</v>
      </c>
      <c r="BC78" s="4">
        <f t="shared" si="94"/>
        <v>0</v>
      </c>
      <c r="BD78" s="4">
        <f t="shared" si="95"/>
        <v>0</v>
      </c>
      <c r="BE78" s="4">
        <f t="shared" si="96"/>
        <v>0</v>
      </c>
      <c r="BF78" s="4">
        <f t="shared" si="97"/>
        <v>0</v>
      </c>
    </row>
    <row r="79" spans="1:58">
      <c r="A79" s="4">
        <f>MIN(StopFreqGHz+0.000001,FieldFox!A78+FreqStep)</f>
        <v>26.500001000000001</v>
      </c>
      <c r="B79" s="4">
        <f t="shared" si="68"/>
        <v>-152</v>
      </c>
      <c r="C79" s="4">
        <f t="shared" si="69"/>
        <v>2</v>
      </c>
      <c r="D79" s="4">
        <f t="shared" si="70"/>
        <v>0.33333333333333331</v>
      </c>
      <c r="E79" s="86">
        <f>NseMeas!H79</f>
        <v>438.4470651377784</v>
      </c>
      <c r="F79" s="4">
        <f t="shared" si="71"/>
        <v>4.0000000000000009</v>
      </c>
      <c r="G79" s="4">
        <f t="shared" si="72"/>
        <v>20</v>
      </c>
      <c r="H79" s="88">
        <f>10*LOG10(P1dbBWghz*1000000000*NseMeas!J79/NseMeas!BW)</f>
        <v>-28.652597449359142</v>
      </c>
      <c r="I79" s="4" t="b">
        <f t="shared" si="73"/>
        <v>0</v>
      </c>
      <c r="J79" s="87">
        <f>MAX(NseMeas!T79,K79/1000)</f>
        <v>825664854.90636683</v>
      </c>
      <c r="K79" s="87">
        <f>NseMeas!S79</f>
        <v>1844875354.154526</v>
      </c>
      <c r="L79" s="87">
        <f>NseMeas!X79</f>
        <v>1019210499.2481589</v>
      </c>
      <c r="M79" s="88">
        <f t="shared" si="58"/>
        <v>43.163202203876551</v>
      </c>
      <c r="N79" s="87">
        <f>4*K79*NseMeas!K79*Jitter1H1s/SQRT($BZ$4)</f>
        <v>2.283887131344474</v>
      </c>
      <c r="O79" s="4">
        <f t="shared" si="59"/>
        <v>0.2</v>
      </c>
      <c r="P79" s="4">
        <f t="shared" si="60"/>
        <v>0.1</v>
      </c>
      <c r="Q79" s="86">
        <f>MAX(0.1,P79/(1+(NseMeas!J79*J79/(NseMeas!L79*L79))))</f>
        <v>0.1</v>
      </c>
      <c r="R79" s="86">
        <f>MAX(0.1,P79/(1+((NseMeas!L79*L79)/(NseMeas!J79*J79))))</f>
        <v>0.1</v>
      </c>
      <c r="S79" s="87">
        <f>MAX(Calibration!Q79,T79/1000)</f>
        <v>6.4485344474614736E-2</v>
      </c>
      <c r="T79" s="87">
        <f>Calibration!P79</f>
        <v>1.0644853444746147</v>
      </c>
      <c r="U79" s="87">
        <f>ABS(Calibration!S79)</f>
        <v>1</v>
      </c>
      <c r="V79" s="88">
        <f>T_0*(10^((O79+DashBoard!$N$6)/10)-1)-N79</f>
        <v>48.436403801119091</v>
      </c>
      <c r="W79" s="87">
        <f>4*T79*NseMeas!T79*Jitter1H1s/SQRT($BZ$4)</f>
        <v>1488536.0455197236</v>
      </c>
      <c r="X79" s="4">
        <f t="shared" si="76"/>
        <v>944441210.55747628</v>
      </c>
      <c r="Y79" s="4">
        <f>MIN(DashBoard!$N$5/2, X79/2)</f>
        <v>5.5</v>
      </c>
      <c r="Z79" s="86">
        <f>MAX(0.1,Y79/(1+(Calibration!H79*S79/(Calibration!J79*U79))))</f>
        <v>2.1052992355230069</v>
      </c>
      <c r="AA79" s="86">
        <f>MAX(0.1,Y79/(1+((Calibration!J79*U79)/(Calibration!H79*S79))))</f>
        <v>3.3947007644769931</v>
      </c>
      <c r="AC79" s="4">
        <f t="shared" si="61"/>
        <v>3.3947007644769931</v>
      </c>
      <c r="AD79" s="4">
        <f t="shared" si="62"/>
        <v>5.5</v>
      </c>
      <c r="AE79" s="4">
        <f t="shared" si="63"/>
        <v>2.1052992355230069</v>
      </c>
      <c r="AF79" s="4">
        <f t="shared" si="64"/>
        <v>0.1</v>
      </c>
      <c r="AG79" s="4">
        <f t="shared" si="65"/>
        <v>0.1</v>
      </c>
      <c r="AH79" s="4">
        <f t="shared" si="66"/>
        <v>0.1</v>
      </c>
      <c r="AI79" s="4">
        <f t="shared" si="74"/>
        <v>0.30000000000000004</v>
      </c>
      <c r="AJ79" s="4">
        <f t="shared" si="75"/>
        <v>24.489999999999988</v>
      </c>
      <c r="AK79" s="4">
        <f t="shared" si="77"/>
        <v>17</v>
      </c>
      <c r="AL79" s="4">
        <f t="shared" si="67"/>
        <v>0</v>
      </c>
      <c r="AM79" s="4">
        <f t="shared" si="78"/>
        <v>0</v>
      </c>
      <c r="AN79" s="4">
        <f t="shared" si="79"/>
        <v>0</v>
      </c>
      <c r="AO79" s="4">
        <f t="shared" si="80"/>
        <v>0</v>
      </c>
      <c r="AP79" s="4">
        <f t="shared" si="81"/>
        <v>0</v>
      </c>
      <c r="AQ79" s="4">
        <f t="shared" si="82"/>
        <v>0</v>
      </c>
      <c r="AR79" s="4">
        <f t="shared" si="83"/>
        <v>0</v>
      </c>
      <c r="AS79" s="4">
        <f t="shared" si="84"/>
        <v>0</v>
      </c>
      <c r="AT79" s="4">
        <f t="shared" si="85"/>
        <v>0</v>
      </c>
      <c r="AU79" s="4">
        <f t="shared" si="86"/>
        <v>0</v>
      </c>
      <c r="AV79" s="4">
        <f t="shared" si="87"/>
        <v>0</v>
      </c>
      <c r="AW79" s="4">
        <f t="shared" si="88"/>
        <v>0</v>
      </c>
      <c r="AX79" s="4">
        <f t="shared" si="89"/>
        <v>0</v>
      </c>
      <c r="AY79" s="4">
        <f t="shared" si="90"/>
        <v>0</v>
      </c>
      <c r="AZ79" s="4">
        <f t="shared" si="91"/>
        <v>0</v>
      </c>
      <c r="BA79" s="4">
        <f t="shared" si="92"/>
        <v>0</v>
      </c>
      <c r="BB79" s="4">
        <f t="shared" si="93"/>
        <v>17</v>
      </c>
      <c r="BC79" s="4">
        <f t="shared" si="94"/>
        <v>0</v>
      </c>
      <c r="BD79" s="4">
        <f t="shared" si="95"/>
        <v>0</v>
      </c>
      <c r="BE79" s="4">
        <f t="shared" si="96"/>
        <v>0</v>
      </c>
      <c r="BF79" s="4">
        <f t="shared" si="97"/>
        <v>0</v>
      </c>
    </row>
    <row r="80" spans="1:58">
      <c r="A80" s="4">
        <f>MIN(StopFreqGHz+0.000001,FieldFox!A79+FreqStep)</f>
        <v>26.500001000000001</v>
      </c>
      <c r="B80" s="4">
        <f t="shared" si="68"/>
        <v>-152</v>
      </c>
      <c r="C80" s="4">
        <f t="shared" si="69"/>
        <v>2</v>
      </c>
      <c r="D80" s="4">
        <f t="shared" si="70"/>
        <v>0.33333333333333331</v>
      </c>
      <c r="E80" s="86">
        <f>NseMeas!H80</f>
        <v>438.4470651377784</v>
      </c>
      <c r="F80" s="4">
        <f t="shared" si="71"/>
        <v>4.0000000000000009</v>
      </c>
      <c r="G80" s="4">
        <f t="shared" si="72"/>
        <v>20</v>
      </c>
      <c r="H80" s="88">
        <f>10*LOG10(P1dbBWghz*1000000000*NseMeas!J80/NseMeas!BW)</f>
        <v>-28.652597449359142</v>
      </c>
      <c r="I80" s="4" t="b">
        <f t="shared" si="73"/>
        <v>0</v>
      </c>
      <c r="J80" s="87">
        <f>MAX(NseMeas!T80,K80/1000)</f>
        <v>825664854.90636683</v>
      </c>
      <c r="K80" s="87">
        <f>NseMeas!S80</f>
        <v>1844875354.154526</v>
      </c>
      <c r="L80" s="87">
        <f>NseMeas!X80</f>
        <v>1019210499.2481589</v>
      </c>
      <c r="M80" s="88">
        <f t="shared" si="58"/>
        <v>43.163202203876551</v>
      </c>
      <c r="N80" s="87">
        <f>4*K80*NseMeas!K80*Jitter1H1s/SQRT($BZ$4)</f>
        <v>2.283887131344474</v>
      </c>
      <c r="O80" s="4">
        <f t="shared" si="59"/>
        <v>0.2</v>
      </c>
      <c r="P80" s="4">
        <f t="shared" si="60"/>
        <v>0.1</v>
      </c>
      <c r="Q80" s="86">
        <f>MAX(0.1,P80/(1+(NseMeas!J80*J80/(NseMeas!L80*L80))))</f>
        <v>0.1</v>
      </c>
      <c r="R80" s="86">
        <f>MAX(0.1,P80/(1+((NseMeas!L80*L80)/(NseMeas!J80*J80))))</f>
        <v>0.1</v>
      </c>
      <c r="S80" s="87">
        <f>MAX(Calibration!Q80,T80/1000)</f>
        <v>6.4485344474614736E-2</v>
      </c>
      <c r="T80" s="87">
        <f>Calibration!P80</f>
        <v>1.0644853444746147</v>
      </c>
      <c r="U80" s="87">
        <f>ABS(Calibration!S80)</f>
        <v>1</v>
      </c>
      <c r="V80" s="88">
        <f>T_0*(10^((O80+DashBoard!$N$6)/10)-1)-N80</f>
        <v>48.436403801119091</v>
      </c>
      <c r="W80" s="87">
        <f>4*T80*NseMeas!T80*Jitter1H1s/SQRT($BZ$4)</f>
        <v>1488536.0455197236</v>
      </c>
      <c r="X80" s="4">
        <f t="shared" si="76"/>
        <v>944441210.55747628</v>
      </c>
      <c r="Y80" s="4">
        <f>MIN(DashBoard!$N$5/2, X80/2)</f>
        <v>5.5</v>
      </c>
      <c r="Z80" s="86">
        <f>MAX(0.1,Y80/(1+(Calibration!H80*S80/(Calibration!J80*U80))))</f>
        <v>2.1052992355230069</v>
      </c>
      <c r="AA80" s="86">
        <f>MAX(0.1,Y80/(1+((Calibration!J80*U80)/(Calibration!H80*S80))))</f>
        <v>3.3947007644769931</v>
      </c>
      <c r="AC80" s="4">
        <f t="shared" si="61"/>
        <v>3.3947007644769931</v>
      </c>
      <c r="AD80" s="4">
        <f t="shared" si="62"/>
        <v>5.5</v>
      </c>
      <c r="AE80" s="4">
        <f t="shared" si="63"/>
        <v>2.1052992355230069</v>
      </c>
      <c r="AF80" s="4">
        <f t="shared" si="64"/>
        <v>0.1</v>
      </c>
      <c r="AG80" s="4">
        <f t="shared" si="65"/>
        <v>0.1</v>
      </c>
      <c r="AH80" s="4">
        <f t="shared" si="66"/>
        <v>0.1</v>
      </c>
      <c r="AI80" s="4">
        <f t="shared" si="74"/>
        <v>0.30000000000000004</v>
      </c>
      <c r="AJ80" s="4">
        <f t="shared" si="75"/>
        <v>24.489999999999988</v>
      </c>
      <c r="AK80" s="4">
        <f t="shared" si="77"/>
        <v>17</v>
      </c>
      <c r="AL80" s="4">
        <f t="shared" si="67"/>
        <v>0</v>
      </c>
      <c r="AM80" s="4">
        <f t="shared" si="78"/>
        <v>0</v>
      </c>
      <c r="AN80" s="4">
        <f t="shared" si="79"/>
        <v>0</v>
      </c>
      <c r="AO80" s="4">
        <f t="shared" si="80"/>
        <v>0</v>
      </c>
      <c r="AP80" s="4">
        <f t="shared" si="81"/>
        <v>0</v>
      </c>
      <c r="AQ80" s="4">
        <f t="shared" si="82"/>
        <v>0</v>
      </c>
      <c r="AR80" s="4">
        <f t="shared" si="83"/>
        <v>0</v>
      </c>
      <c r="AS80" s="4">
        <f t="shared" si="84"/>
        <v>0</v>
      </c>
      <c r="AT80" s="4">
        <f t="shared" si="85"/>
        <v>0</v>
      </c>
      <c r="AU80" s="4">
        <f t="shared" si="86"/>
        <v>0</v>
      </c>
      <c r="AV80" s="4">
        <f t="shared" si="87"/>
        <v>0</v>
      </c>
      <c r="AW80" s="4">
        <f t="shared" si="88"/>
        <v>0</v>
      </c>
      <c r="AX80" s="4">
        <f t="shared" si="89"/>
        <v>0</v>
      </c>
      <c r="AY80" s="4">
        <f t="shared" si="90"/>
        <v>0</v>
      </c>
      <c r="AZ80" s="4">
        <f t="shared" si="91"/>
        <v>0</v>
      </c>
      <c r="BA80" s="4">
        <f t="shared" si="92"/>
        <v>0</v>
      </c>
      <c r="BB80" s="4">
        <f t="shared" si="93"/>
        <v>17</v>
      </c>
      <c r="BC80" s="4">
        <f t="shared" si="94"/>
        <v>0</v>
      </c>
      <c r="BD80" s="4">
        <f t="shared" si="95"/>
        <v>0</v>
      </c>
      <c r="BE80" s="4">
        <f t="shared" si="96"/>
        <v>0</v>
      </c>
      <c r="BF80" s="4">
        <f t="shared" si="97"/>
        <v>0</v>
      </c>
    </row>
    <row r="81" spans="1:58">
      <c r="A81" s="4">
        <f>MIN(StopFreqGHz+0.000001,FieldFox!A80+FreqStep)</f>
        <v>26.500001000000001</v>
      </c>
      <c r="B81" s="4">
        <f t="shared" si="68"/>
        <v>-152</v>
      </c>
      <c r="C81" s="4">
        <f t="shared" si="69"/>
        <v>2</v>
      </c>
      <c r="D81" s="4">
        <f t="shared" si="70"/>
        <v>0.33333333333333331</v>
      </c>
      <c r="E81" s="86">
        <f>NseMeas!H81</f>
        <v>438.4470651377784</v>
      </c>
      <c r="F81" s="4">
        <f t="shared" si="71"/>
        <v>4.0000000000000009</v>
      </c>
      <c r="G81" s="4">
        <f t="shared" si="72"/>
        <v>20</v>
      </c>
      <c r="H81" s="88">
        <f>10*LOG10(P1dbBWghz*1000000000*NseMeas!J81/NseMeas!BW)</f>
        <v>-28.652597449359142</v>
      </c>
      <c r="I81" s="4" t="b">
        <f t="shared" si="73"/>
        <v>0</v>
      </c>
      <c r="J81" s="87">
        <f>MAX(NseMeas!T81,K81/1000)</f>
        <v>825664854.90636683</v>
      </c>
      <c r="K81" s="87">
        <f>NseMeas!S81</f>
        <v>1844875354.154526</v>
      </c>
      <c r="L81" s="87">
        <f>NseMeas!X81</f>
        <v>1019210499.2481589</v>
      </c>
      <c r="M81" s="88">
        <f t="shared" si="58"/>
        <v>43.163202203876551</v>
      </c>
      <c r="N81" s="87">
        <f>4*K81*NseMeas!K81*Jitter1H1s/SQRT($BZ$4)</f>
        <v>2.283887131344474</v>
      </c>
      <c r="O81" s="4">
        <f t="shared" si="59"/>
        <v>0.2</v>
      </c>
      <c r="P81" s="4">
        <f t="shared" si="60"/>
        <v>0.1</v>
      </c>
      <c r="Q81" s="86">
        <f>MAX(0.1,P81/(1+(NseMeas!J81*J81/(NseMeas!L81*L81))))</f>
        <v>0.1</v>
      </c>
      <c r="R81" s="86">
        <f>MAX(0.1,P81/(1+((NseMeas!L81*L81)/(NseMeas!J81*J81))))</f>
        <v>0.1</v>
      </c>
      <c r="S81" s="87">
        <f>MAX(Calibration!Q81,T81/1000)</f>
        <v>6.4485344474614736E-2</v>
      </c>
      <c r="T81" s="87">
        <f>Calibration!P81</f>
        <v>1.0644853444746147</v>
      </c>
      <c r="U81" s="87">
        <f>ABS(Calibration!S81)</f>
        <v>1</v>
      </c>
      <c r="V81" s="88">
        <f>T_0*(10^((O81+DashBoard!$N$6)/10)-1)-N81</f>
        <v>48.436403801119091</v>
      </c>
      <c r="W81" s="87">
        <f>4*T81*NseMeas!T81*Jitter1H1s/SQRT($BZ$4)</f>
        <v>1488536.0455197236</v>
      </c>
      <c r="X81" s="4">
        <f t="shared" si="76"/>
        <v>944441210.55747628</v>
      </c>
      <c r="Y81" s="4">
        <f>MIN(DashBoard!$N$5/2, X81/2)</f>
        <v>5.5</v>
      </c>
      <c r="Z81" s="86">
        <f>MAX(0.1,Y81/(1+(Calibration!H81*S81/(Calibration!J81*U81))))</f>
        <v>2.1052992355230069</v>
      </c>
      <c r="AA81" s="86">
        <f>MAX(0.1,Y81/(1+((Calibration!J81*U81)/(Calibration!H81*S81))))</f>
        <v>3.3947007644769931</v>
      </c>
      <c r="AC81" s="4">
        <f t="shared" si="61"/>
        <v>3.3947007644769931</v>
      </c>
      <c r="AD81" s="4">
        <f t="shared" si="62"/>
        <v>5.5</v>
      </c>
      <c r="AE81" s="4">
        <f t="shared" si="63"/>
        <v>2.1052992355230069</v>
      </c>
      <c r="AF81" s="4">
        <f t="shared" si="64"/>
        <v>0.1</v>
      </c>
      <c r="AG81" s="4">
        <f t="shared" si="65"/>
        <v>0.1</v>
      </c>
      <c r="AH81" s="4">
        <f t="shared" si="66"/>
        <v>0.1</v>
      </c>
      <c r="AI81" s="4">
        <f t="shared" si="74"/>
        <v>0.30000000000000004</v>
      </c>
      <c r="AJ81" s="4">
        <f t="shared" si="75"/>
        <v>24.489999999999988</v>
      </c>
      <c r="AK81" s="4">
        <f t="shared" si="77"/>
        <v>17</v>
      </c>
      <c r="AL81" s="4">
        <f t="shared" si="67"/>
        <v>0</v>
      </c>
      <c r="AM81" s="4">
        <f t="shared" si="78"/>
        <v>0</v>
      </c>
      <c r="AN81" s="4">
        <f t="shared" si="79"/>
        <v>0</v>
      </c>
      <c r="AO81" s="4">
        <f t="shared" si="80"/>
        <v>0</v>
      </c>
      <c r="AP81" s="4">
        <f t="shared" si="81"/>
        <v>0</v>
      </c>
      <c r="AQ81" s="4">
        <f t="shared" si="82"/>
        <v>0</v>
      </c>
      <c r="AR81" s="4">
        <f t="shared" si="83"/>
        <v>0</v>
      </c>
      <c r="AS81" s="4">
        <f t="shared" si="84"/>
        <v>0</v>
      </c>
      <c r="AT81" s="4">
        <f t="shared" si="85"/>
        <v>0</v>
      </c>
      <c r="AU81" s="4">
        <f t="shared" si="86"/>
        <v>0</v>
      </c>
      <c r="AV81" s="4">
        <f t="shared" si="87"/>
        <v>0</v>
      </c>
      <c r="AW81" s="4">
        <f t="shared" si="88"/>
        <v>0</v>
      </c>
      <c r="AX81" s="4">
        <f t="shared" si="89"/>
        <v>0</v>
      </c>
      <c r="AY81" s="4">
        <f t="shared" si="90"/>
        <v>0</v>
      </c>
      <c r="AZ81" s="4">
        <f t="shared" si="91"/>
        <v>0</v>
      </c>
      <c r="BA81" s="4">
        <f t="shared" si="92"/>
        <v>0</v>
      </c>
      <c r="BB81" s="4">
        <f t="shared" si="93"/>
        <v>17</v>
      </c>
      <c r="BC81" s="4">
        <f t="shared" si="94"/>
        <v>0</v>
      </c>
      <c r="BD81" s="4">
        <f t="shared" si="95"/>
        <v>0</v>
      </c>
      <c r="BE81" s="4">
        <f t="shared" si="96"/>
        <v>0</v>
      </c>
      <c r="BF81" s="4">
        <f t="shared" si="97"/>
        <v>0</v>
      </c>
    </row>
    <row r="82" spans="1:58">
      <c r="A82" s="4">
        <f>MIN(StopFreqGHz+0.000001,FieldFox!A81+FreqStep)</f>
        <v>26.500001000000001</v>
      </c>
      <c r="B82" s="4">
        <f t="shared" si="68"/>
        <v>-152</v>
      </c>
      <c r="C82" s="4">
        <f t="shared" si="69"/>
        <v>2</v>
      </c>
      <c r="D82" s="4">
        <f t="shared" si="70"/>
        <v>0.33333333333333331</v>
      </c>
      <c r="E82" s="86">
        <f>NseMeas!H82</f>
        <v>438.4470651377784</v>
      </c>
      <c r="F82" s="4">
        <f t="shared" si="71"/>
        <v>4.0000000000000009</v>
      </c>
      <c r="G82" s="4">
        <f t="shared" si="72"/>
        <v>20</v>
      </c>
      <c r="H82" s="88">
        <f>10*LOG10(P1dbBWghz*1000000000*NseMeas!J82/NseMeas!BW)</f>
        <v>-28.652597449359142</v>
      </c>
      <c r="I82" s="4" t="b">
        <f t="shared" si="73"/>
        <v>0</v>
      </c>
      <c r="J82" s="87">
        <f>MAX(NseMeas!T82,K82/1000)</f>
        <v>825664854.90636683</v>
      </c>
      <c r="K82" s="87">
        <f>NseMeas!S82</f>
        <v>1844875354.154526</v>
      </c>
      <c r="L82" s="87">
        <f>NseMeas!X82</f>
        <v>1019210499.2481589</v>
      </c>
      <c r="M82" s="88">
        <f t="shared" si="58"/>
        <v>43.163202203876551</v>
      </c>
      <c r="N82" s="87">
        <f>4*K82*NseMeas!K82*Jitter1H1s/SQRT($BZ$4)</f>
        <v>2.283887131344474</v>
      </c>
      <c r="O82" s="4">
        <f t="shared" si="59"/>
        <v>0.2</v>
      </c>
      <c r="P82" s="4">
        <f t="shared" si="60"/>
        <v>0.1</v>
      </c>
      <c r="Q82" s="86">
        <f>MAX(0.1,P82/(1+(NseMeas!J82*J82/(NseMeas!L82*L82))))</f>
        <v>0.1</v>
      </c>
      <c r="R82" s="86">
        <f>MAX(0.1,P82/(1+((NseMeas!L82*L82)/(NseMeas!J82*J82))))</f>
        <v>0.1</v>
      </c>
      <c r="S82" s="87">
        <f>MAX(Calibration!Q82,T82/1000)</f>
        <v>6.4485344474614736E-2</v>
      </c>
      <c r="T82" s="87">
        <f>Calibration!P82</f>
        <v>1.0644853444746147</v>
      </c>
      <c r="U82" s="87">
        <f>ABS(Calibration!S82)</f>
        <v>1</v>
      </c>
      <c r="V82" s="88">
        <f>T_0*(10^((O82+DashBoard!$N$6)/10)-1)-N82</f>
        <v>48.436403801119091</v>
      </c>
      <c r="W82" s="87">
        <f>4*T82*NseMeas!T82*Jitter1H1s/SQRT($BZ$4)</f>
        <v>1488536.0455197236</v>
      </c>
      <c r="X82" s="4">
        <f t="shared" si="76"/>
        <v>944441210.55747628</v>
      </c>
      <c r="Y82" s="4">
        <f>MIN(DashBoard!$N$5/2, X82/2)</f>
        <v>5.5</v>
      </c>
      <c r="Z82" s="86">
        <f>MAX(0.1,Y82/(1+(Calibration!H82*S82/(Calibration!J82*U82))))</f>
        <v>2.1052992355230069</v>
      </c>
      <c r="AA82" s="86">
        <f>MAX(0.1,Y82/(1+((Calibration!J82*U82)/(Calibration!H82*S82))))</f>
        <v>3.3947007644769931</v>
      </c>
      <c r="AC82" s="4">
        <f t="shared" si="61"/>
        <v>3.3947007644769931</v>
      </c>
      <c r="AD82" s="4">
        <f t="shared" si="62"/>
        <v>5.5</v>
      </c>
      <c r="AE82" s="4">
        <f t="shared" si="63"/>
        <v>2.1052992355230069</v>
      </c>
      <c r="AF82" s="4">
        <f t="shared" si="64"/>
        <v>0.1</v>
      </c>
      <c r="AG82" s="4">
        <f t="shared" si="65"/>
        <v>0.1</v>
      </c>
      <c r="AH82" s="4">
        <f t="shared" si="66"/>
        <v>0.1</v>
      </c>
      <c r="AI82" s="4">
        <f t="shared" si="74"/>
        <v>0.30000000000000004</v>
      </c>
      <c r="AJ82" s="4">
        <f t="shared" si="75"/>
        <v>24.489999999999988</v>
      </c>
      <c r="AK82" s="4">
        <f t="shared" si="77"/>
        <v>17</v>
      </c>
      <c r="AL82" s="4">
        <f t="shared" si="67"/>
        <v>0</v>
      </c>
      <c r="AM82" s="4">
        <f t="shared" si="78"/>
        <v>0</v>
      </c>
      <c r="AN82" s="4">
        <f t="shared" si="79"/>
        <v>0</v>
      </c>
      <c r="AO82" s="4">
        <f t="shared" si="80"/>
        <v>0</v>
      </c>
      <c r="AP82" s="4">
        <f t="shared" si="81"/>
        <v>0</v>
      </c>
      <c r="AQ82" s="4">
        <f t="shared" si="82"/>
        <v>0</v>
      </c>
      <c r="AR82" s="4">
        <f t="shared" si="83"/>
        <v>0</v>
      </c>
      <c r="AS82" s="4">
        <f t="shared" si="84"/>
        <v>0</v>
      </c>
      <c r="AT82" s="4">
        <f t="shared" si="85"/>
        <v>0</v>
      </c>
      <c r="AU82" s="4">
        <f t="shared" si="86"/>
        <v>0</v>
      </c>
      <c r="AV82" s="4">
        <f t="shared" si="87"/>
        <v>0</v>
      </c>
      <c r="AW82" s="4">
        <f t="shared" si="88"/>
        <v>0</v>
      </c>
      <c r="AX82" s="4">
        <f t="shared" si="89"/>
        <v>0</v>
      </c>
      <c r="AY82" s="4">
        <f t="shared" si="90"/>
        <v>0</v>
      </c>
      <c r="AZ82" s="4">
        <f t="shared" si="91"/>
        <v>0</v>
      </c>
      <c r="BA82" s="4">
        <f t="shared" si="92"/>
        <v>0</v>
      </c>
      <c r="BB82" s="4">
        <f t="shared" si="93"/>
        <v>17</v>
      </c>
      <c r="BC82" s="4">
        <f t="shared" si="94"/>
        <v>0</v>
      </c>
      <c r="BD82" s="4">
        <f t="shared" si="95"/>
        <v>0</v>
      </c>
      <c r="BE82" s="4">
        <f t="shared" si="96"/>
        <v>0</v>
      </c>
      <c r="BF82" s="4">
        <f t="shared" si="97"/>
        <v>0</v>
      </c>
    </row>
    <row r="83" spans="1:58">
      <c r="A83" s="4">
        <f>MIN(StopFreqGHz+0.000001,FieldFox!A82+FreqStep)</f>
        <v>26.500001000000001</v>
      </c>
      <c r="B83" s="4">
        <f t="shared" si="68"/>
        <v>-152</v>
      </c>
      <c r="C83" s="4">
        <f t="shared" si="69"/>
        <v>2</v>
      </c>
      <c r="D83" s="4">
        <f t="shared" si="70"/>
        <v>0.33333333333333331</v>
      </c>
      <c r="E83" s="86">
        <f>NseMeas!H83</f>
        <v>438.4470651377784</v>
      </c>
      <c r="F83" s="4">
        <f t="shared" si="71"/>
        <v>4.0000000000000009</v>
      </c>
      <c r="G83" s="4">
        <f t="shared" si="72"/>
        <v>20</v>
      </c>
      <c r="H83" s="88">
        <f>10*LOG10(P1dbBWghz*1000000000*NseMeas!J83/NseMeas!BW)</f>
        <v>-28.652597449359142</v>
      </c>
      <c r="I83" s="4" t="b">
        <f t="shared" si="73"/>
        <v>0</v>
      </c>
      <c r="J83" s="87">
        <f>MAX(NseMeas!T83,K83/1000)</f>
        <v>825664854.90636683</v>
      </c>
      <c r="K83" s="87">
        <f>NseMeas!S83</f>
        <v>1844875354.154526</v>
      </c>
      <c r="L83" s="87">
        <f>NseMeas!X83</f>
        <v>1019210499.2481589</v>
      </c>
      <c r="M83" s="88">
        <f t="shared" si="58"/>
        <v>43.163202203876551</v>
      </c>
      <c r="N83" s="87">
        <f>4*K83*NseMeas!K83*Jitter1H1s/SQRT($BZ$4)</f>
        <v>2.283887131344474</v>
      </c>
      <c r="O83" s="4">
        <f t="shared" si="59"/>
        <v>0.2</v>
      </c>
      <c r="P83" s="4">
        <f t="shared" si="60"/>
        <v>0.1</v>
      </c>
      <c r="Q83" s="86">
        <f>MAX(0.1,P83/(1+(NseMeas!J83*J83/(NseMeas!L83*L83))))</f>
        <v>0.1</v>
      </c>
      <c r="R83" s="86">
        <f>MAX(0.1,P83/(1+((NseMeas!L83*L83)/(NseMeas!J83*J83))))</f>
        <v>0.1</v>
      </c>
      <c r="S83" s="87">
        <f>MAX(Calibration!Q83,T83/1000)</f>
        <v>6.4485344474614736E-2</v>
      </c>
      <c r="T83" s="87">
        <f>Calibration!P83</f>
        <v>1.0644853444746147</v>
      </c>
      <c r="U83" s="87">
        <f>ABS(Calibration!S83)</f>
        <v>1</v>
      </c>
      <c r="V83" s="88">
        <f>T_0*(10^((O83+DashBoard!$N$6)/10)-1)-N83</f>
        <v>48.436403801119091</v>
      </c>
      <c r="W83" s="87">
        <f>4*T83*NseMeas!T83*Jitter1H1s/SQRT($BZ$4)</f>
        <v>1488536.0455197236</v>
      </c>
      <c r="X83" s="4">
        <f t="shared" si="76"/>
        <v>944441210.55747628</v>
      </c>
      <c r="Y83" s="4">
        <f>MIN(DashBoard!$N$5/2, X83/2)</f>
        <v>5.5</v>
      </c>
      <c r="Z83" s="86">
        <f>MAX(0.1,Y83/(1+(Calibration!H83*S83/(Calibration!J83*U83))))</f>
        <v>2.1052992355230069</v>
      </c>
      <c r="AA83" s="86">
        <f>MAX(0.1,Y83/(1+((Calibration!J83*U83)/(Calibration!H83*S83))))</f>
        <v>3.3947007644769931</v>
      </c>
      <c r="AC83" s="4">
        <f t="shared" si="61"/>
        <v>3.3947007644769931</v>
      </c>
      <c r="AD83" s="4">
        <f t="shared" si="62"/>
        <v>5.5</v>
      </c>
      <c r="AE83" s="4">
        <f t="shared" si="63"/>
        <v>2.1052992355230069</v>
      </c>
      <c r="AF83" s="4">
        <f t="shared" si="64"/>
        <v>0.1</v>
      </c>
      <c r="AG83" s="4">
        <f t="shared" si="65"/>
        <v>0.1</v>
      </c>
      <c r="AH83" s="4">
        <f t="shared" si="66"/>
        <v>0.1</v>
      </c>
      <c r="AI83" s="4">
        <f t="shared" si="74"/>
        <v>0.30000000000000004</v>
      </c>
      <c r="AJ83" s="4">
        <f t="shared" si="75"/>
        <v>24.489999999999988</v>
      </c>
      <c r="AK83" s="4">
        <f t="shared" si="77"/>
        <v>17</v>
      </c>
      <c r="AL83" s="4">
        <f t="shared" si="67"/>
        <v>0</v>
      </c>
      <c r="AM83" s="4">
        <f t="shared" si="78"/>
        <v>0</v>
      </c>
      <c r="AN83" s="4">
        <f t="shared" si="79"/>
        <v>0</v>
      </c>
      <c r="AO83" s="4">
        <f t="shared" si="80"/>
        <v>0</v>
      </c>
      <c r="AP83" s="4">
        <f t="shared" si="81"/>
        <v>0</v>
      </c>
      <c r="AQ83" s="4">
        <f t="shared" si="82"/>
        <v>0</v>
      </c>
      <c r="AR83" s="4">
        <f t="shared" si="83"/>
        <v>0</v>
      </c>
      <c r="AS83" s="4">
        <f t="shared" si="84"/>
        <v>0</v>
      </c>
      <c r="AT83" s="4">
        <f t="shared" si="85"/>
        <v>0</v>
      </c>
      <c r="AU83" s="4">
        <f t="shared" si="86"/>
        <v>0</v>
      </c>
      <c r="AV83" s="4">
        <f t="shared" si="87"/>
        <v>0</v>
      </c>
      <c r="AW83" s="4">
        <f t="shared" si="88"/>
        <v>0</v>
      </c>
      <c r="AX83" s="4">
        <f t="shared" si="89"/>
        <v>0</v>
      </c>
      <c r="AY83" s="4">
        <f t="shared" si="90"/>
        <v>0</v>
      </c>
      <c r="AZ83" s="4">
        <f t="shared" si="91"/>
        <v>0</v>
      </c>
      <c r="BA83" s="4">
        <f t="shared" si="92"/>
        <v>0</v>
      </c>
      <c r="BB83" s="4">
        <f t="shared" si="93"/>
        <v>17</v>
      </c>
      <c r="BC83" s="4">
        <f t="shared" si="94"/>
        <v>0</v>
      </c>
      <c r="BD83" s="4">
        <f t="shared" si="95"/>
        <v>0</v>
      </c>
      <c r="BE83" s="4">
        <f t="shared" si="96"/>
        <v>0</v>
      </c>
      <c r="BF83" s="4">
        <f t="shared" si="97"/>
        <v>0</v>
      </c>
    </row>
    <row r="84" spans="1:58">
      <c r="A84" s="4">
        <f>MIN(StopFreqGHz+0.000001,FieldFox!A83+FreqStep)</f>
        <v>26.500001000000001</v>
      </c>
      <c r="B84" s="4">
        <f t="shared" si="68"/>
        <v>-152</v>
      </c>
      <c r="C84" s="4">
        <f t="shared" si="69"/>
        <v>2</v>
      </c>
      <c r="D84" s="4">
        <f t="shared" si="70"/>
        <v>0.33333333333333331</v>
      </c>
      <c r="E84" s="86">
        <f>NseMeas!H84</f>
        <v>438.4470651377784</v>
      </c>
      <c r="F84" s="4">
        <f t="shared" si="71"/>
        <v>4.0000000000000009</v>
      </c>
      <c r="G84" s="4">
        <f t="shared" si="72"/>
        <v>20</v>
      </c>
      <c r="H84" s="88">
        <f>10*LOG10(P1dbBWghz*1000000000*NseMeas!J84/NseMeas!BW)</f>
        <v>-28.652597449359142</v>
      </c>
      <c r="I84" s="4" t="b">
        <f t="shared" si="73"/>
        <v>0</v>
      </c>
      <c r="J84" s="87">
        <f>MAX(NseMeas!T84,K84/1000)</f>
        <v>825664854.90636683</v>
      </c>
      <c r="K84" s="87">
        <f>NseMeas!S84</f>
        <v>1844875354.154526</v>
      </c>
      <c r="L84" s="87">
        <f>NseMeas!X84</f>
        <v>1019210499.2481589</v>
      </c>
      <c r="M84" s="88">
        <f t="shared" si="58"/>
        <v>43.163202203876551</v>
      </c>
      <c r="N84" s="87">
        <f>4*K84*NseMeas!K84*Jitter1H1s/SQRT($BZ$4)</f>
        <v>2.283887131344474</v>
      </c>
      <c r="O84" s="4">
        <f t="shared" si="59"/>
        <v>0.2</v>
      </c>
      <c r="P84" s="4">
        <f t="shared" si="60"/>
        <v>0.1</v>
      </c>
      <c r="Q84" s="86">
        <f>MAX(0.1,P84/(1+(NseMeas!J84*J84/(NseMeas!L84*L84))))</f>
        <v>0.1</v>
      </c>
      <c r="R84" s="86">
        <f>MAX(0.1,P84/(1+((NseMeas!L84*L84)/(NseMeas!J84*J84))))</f>
        <v>0.1</v>
      </c>
      <c r="S84" s="87">
        <f>MAX(Calibration!Q84,T84/1000)</f>
        <v>6.4485344474614736E-2</v>
      </c>
      <c r="T84" s="87">
        <f>Calibration!P84</f>
        <v>1.0644853444746147</v>
      </c>
      <c r="U84" s="87">
        <f>ABS(Calibration!S84)</f>
        <v>1</v>
      </c>
      <c r="V84" s="88">
        <f>T_0*(10^((O84+DashBoard!$N$6)/10)-1)-N84</f>
        <v>48.436403801119091</v>
      </c>
      <c r="W84" s="87">
        <f>4*T84*NseMeas!T84*Jitter1H1s/SQRT($BZ$4)</f>
        <v>1488536.0455197236</v>
      </c>
      <c r="X84" s="4">
        <f t="shared" si="76"/>
        <v>944441210.55747628</v>
      </c>
      <c r="Y84" s="4">
        <f>MIN(DashBoard!$N$5/2, X84/2)</f>
        <v>5.5</v>
      </c>
      <c r="Z84" s="86">
        <f>MAX(0.1,Y84/(1+(Calibration!H84*S84/(Calibration!J84*U84))))</f>
        <v>2.1052992355230069</v>
      </c>
      <c r="AA84" s="86">
        <f>MAX(0.1,Y84/(1+((Calibration!J84*U84)/(Calibration!H84*S84))))</f>
        <v>3.3947007644769931</v>
      </c>
      <c r="AC84" s="4">
        <f t="shared" si="61"/>
        <v>3.3947007644769931</v>
      </c>
      <c r="AD84" s="4">
        <f t="shared" si="62"/>
        <v>5.5</v>
      </c>
      <c r="AE84" s="4">
        <f t="shared" si="63"/>
        <v>2.1052992355230069</v>
      </c>
      <c r="AF84" s="4">
        <f t="shared" si="64"/>
        <v>0.1</v>
      </c>
      <c r="AG84" s="4">
        <f t="shared" si="65"/>
        <v>0.1</v>
      </c>
      <c r="AH84" s="4">
        <f t="shared" si="66"/>
        <v>0.1</v>
      </c>
      <c r="AI84" s="4">
        <f t="shared" si="74"/>
        <v>0.30000000000000004</v>
      </c>
      <c r="AJ84" s="4">
        <f t="shared" si="75"/>
        <v>24.489999999999988</v>
      </c>
      <c r="AK84" s="4">
        <f t="shared" si="77"/>
        <v>17</v>
      </c>
      <c r="AL84" s="4">
        <f t="shared" si="67"/>
        <v>0</v>
      </c>
      <c r="AM84" s="4">
        <f t="shared" si="78"/>
        <v>0</v>
      </c>
      <c r="AN84" s="4">
        <f t="shared" si="79"/>
        <v>0</v>
      </c>
      <c r="AO84" s="4">
        <f t="shared" si="80"/>
        <v>0</v>
      </c>
      <c r="AP84" s="4">
        <f t="shared" si="81"/>
        <v>0</v>
      </c>
      <c r="AQ84" s="4">
        <f t="shared" si="82"/>
        <v>0</v>
      </c>
      <c r="AR84" s="4">
        <f t="shared" si="83"/>
        <v>0</v>
      </c>
      <c r="AS84" s="4">
        <f t="shared" si="84"/>
        <v>0</v>
      </c>
      <c r="AT84" s="4">
        <f t="shared" si="85"/>
        <v>0</v>
      </c>
      <c r="AU84" s="4">
        <f t="shared" si="86"/>
        <v>0</v>
      </c>
      <c r="AV84" s="4">
        <f t="shared" si="87"/>
        <v>0</v>
      </c>
      <c r="AW84" s="4">
        <f t="shared" si="88"/>
        <v>0</v>
      </c>
      <c r="AX84" s="4">
        <f t="shared" si="89"/>
        <v>0</v>
      </c>
      <c r="AY84" s="4">
        <f t="shared" si="90"/>
        <v>0</v>
      </c>
      <c r="AZ84" s="4">
        <f t="shared" si="91"/>
        <v>0</v>
      </c>
      <c r="BA84" s="4">
        <f t="shared" si="92"/>
        <v>0</v>
      </c>
      <c r="BB84" s="4">
        <f t="shared" si="93"/>
        <v>17</v>
      </c>
      <c r="BC84" s="4">
        <f t="shared" si="94"/>
        <v>0</v>
      </c>
      <c r="BD84" s="4">
        <f t="shared" si="95"/>
        <v>0</v>
      </c>
      <c r="BE84" s="4">
        <f t="shared" si="96"/>
        <v>0</v>
      </c>
      <c r="BF84" s="4">
        <f t="shared" si="97"/>
        <v>0</v>
      </c>
    </row>
    <row r="85" spans="1:58">
      <c r="A85" s="4">
        <f>MIN(StopFreqGHz+0.000001,FieldFox!A84+FreqStep)</f>
        <v>26.500001000000001</v>
      </c>
      <c r="B85" s="4">
        <f t="shared" si="68"/>
        <v>-152</v>
      </c>
      <c r="C85" s="4">
        <f t="shared" si="69"/>
        <v>2</v>
      </c>
      <c r="D85" s="4">
        <f t="shared" si="70"/>
        <v>0.33333333333333331</v>
      </c>
      <c r="E85" s="86">
        <f>NseMeas!H85</f>
        <v>438.4470651377784</v>
      </c>
      <c r="F85" s="4">
        <f t="shared" si="71"/>
        <v>4.0000000000000009</v>
      </c>
      <c r="G85" s="4">
        <f t="shared" si="72"/>
        <v>20</v>
      </c>
      <c r="H85" s="88">
        <f>10*LOG10(P1dbBWghz*1000000000*NseMeas!J85/NseMeas!BW)</f>
        <v>-28.652597449359142</v>
      </c>
      <c r="I85" s="4" t="b">
        <f t="shared" si="73"/>
        <v>0</v>
      </c>
      <c r="J85" s="87">
        <f>MAX(NseMeas!T85,K85/1000)</f>
        <v>825664854.90636683</v>
      </c>
      <c r="K85" s="87">
        <f>NseMeas!S85</f>
        <v>1844875354.154526</v>
      </c>
      <c r="L85" s="87">
        <f>NseMeas!X85</f>
        <v>1019210499.2481589</v>
      </c>
      <c r="M85" s="88">
        <f t="shared" si="58"/>
        <v>43.163202203876551</v>
      </c>
      <c r="N85" s="87">
        <f>4*K85*NseMeas!K85*Jitter1H1s/SQRT($BZ$4)</f>
        <v>2.283887131344474</v>
      </c>
      <c r="O85" s="4">
        <f t="shared" si="59"/>
        <v>0.2</v>
      </c>
      <c r="P85" s="4">
        <f t="shared" si="60"/>
        <v>0.1</v>
      </c>
      <c r="Q85" s="86">
        <f>MAX(0.1,P85/(1+(NseMeas!J85*J85/(NseMeas!L85*L85))))</f>
        <v>0.1</v>
      </c>
      <c r="R85" s="86">
        <f>MAX(0.1,P85/(1+((NseMeas!L85*L85)/(NseMeas!J85*J85))))</f>
        <v>0.1</v>
      </c>
      <c r="S85" s="87">
        <f>MAX(Calibration!Q85,T85/1000)</f>
        <v>6.4485344474614736E-2</v>
      </c>
      <c r="T85" s="87">
        <f>Calibration!P85</f>
        <v>1.0644853444746147</v>
      </c>
      <c r="U85" s="87">
        <f>ABS(Calibration!S85)</f>
        <v>1</v>
      </c>
      <c r="V85" s="88">
        <f>T_0*(10^((O85+DashBoard!$N$6)/10)-1)-N85</f>
        <v>48.436403801119091</v>
      </c>
      <c r="W85" s="87">
        <f>4*T85*NseMeas!T85*Jitter1H1s/SQRT($BZ$4)</f>
        <v>1488536.0455197236</v>
      </c>
      <c r="X85" s="4">
        <f t="shared" si="76"/>
        <v>944441210.55747628</v>
      </c>
      <c r="Y85" s="4">
        <f>MIN(DashBoard!$N$5/2, X85/2)</f>
        <v>5.5</v>
      </c>
      <c r="Z85" s="86">
        <f>MAX(0.1,Y85/(1+(Calibration!H85*S85/(Calibration!J85*U85))))</f>
        <v>2.1052992355230069</v>
      </c>
      <c r="AA85" s="86">
        <f>MAX(0.1,Y85/(1+((Calibration!J85*U85)/(Calibration!H85*S85))))</f>
        <v>3.3947007644769931</v>
      </c>
      <c r="AC85" s="4">
        <f t="shared" si="61"/>
        <v>3.3947007644769931</v>
      </c>
      <c r="AD85" s="4">
        <f t="shared" si="62"/>
        <v>5.5</v>
      </c>
      <c r="AE85" s="4">
        <f t="shared" si="63"/>
        <v>2.1052992355230069</v>
      </c>
      <c r="AF85" s="4">
        <f t="shared" si="64"/>
        <v>0.1</v>
      </c>
      <c r="AG85" s="4">
        <f t="shared" si="65"/>
        <v>0.1</v>
      </c>
      <c r="AH85" s="4">
        <f t="shared" si="66"/>
        <v>0.1</v>
      </c>
      <c r="AI85" s="4">
        <f t="shared" si="74"/>
        <v>0.30000000000000004</v>
      </c>
      <c r="AJ85" s="4">
        <f t="shared" si="75"/>
        <v>24.489999999999988</v>
      </c>
      <c r="AK85" s="4">
        <f t="shared" si="77"/>
        <v>17</v>
      </c>
      <c r="AL85" s="4">
        <f t="shared" si="67"/>
        <v>0</v>
      </c>
      <c r="AM85" s="4">
        <f t="shared" si="78"/>
        <v>0</v>
      </c>
      <c r="AN85" s="4">
        <f t="shared" si="79"/>
        <v>0</v>
      </c>
      <c r="AO85" s="4">
        <f t="shared" si="80"/>
        <v>0</v>
      </c>
      <c r="AP85" s="4">
        <f t="shared" si="81"/>
        <v>0</v>
      </c>
      <c r="AQ85" s="4">
        <f t="shared" si="82"/>
        <v>0</v>
      </c>
      <c r="AR85" s="4">
        <f t="shared" si="83"/>
        <v>0</v>
      </c>
      <c r="AS85" s="4">
        <f t="shared" si="84"/>
        <v>0</v>
      </c>
      <c r="AT85" s="4">
        <f t="shared" si="85"/>
        <v>0</v>
      </c>
      <c r="AU85" s="4">
        <f t="shared" si="86"/>
        <v>0</v>
      </c>
      <c r="AV85" s="4">
        <f t="shared" si="87"/>
        <v>0</v>
      </c>
      <c r="AW85" s="4">
        <f t="shared" si="88"/>
        <v>0</v>
      </c>
      <c r="AX85" s="4">
        <f t="shared" si="89"/>
        <v>0</v>
      </c>
      <c r="AY85" s="4">
        <f t="shared" si="90"/>
        <v>0</v>
      </c>
      <c r="AZ85" s="4">
        <f t="shared" si="91"/>
        <v>0</v>
      </c>
      <c r="BA85" s="4">
        <f t="shared" si="92"/>
        <v>0</v>
      </c>
      <c r="BB85" s="4">
        <f t="shared" si="93"/>
        <v>17</v>
      </c>
      <c r="BC85" s="4">
        <f t="shared" si="94"/>
        <v>0</v>
      </c>
      <c r="BD85" s="4">
        <f t="shared" si="95"/>
        <v>0</v>
      </c>
      <c r="BE85" s="4">
        <f t="shared" si="96"/>
        <v>0</v>
      </c>
      <c r="BF85" s="4">
        <f t="shared" si="97"/>
        <v>0</v>
      </c>
    </row>
    <row r="86" spans="1:58">
      <c r="A86" s="4">
        <f>MIN(StopFreqGHz+0.000001,FieldFox!A85+FreqStep)</f>
        <v>26.500001000000001</v>
      </c>
      <c r="B86" s="4">
        <f t="shared" si="68"/>
        <v>-152</v>
      </c>
      <c r="C86" s="4">
        <f t="shared" si="69"/>
        <v>2</v>
      </c>
      <c r="D86" s="4">
        <f t="shared" si="70"/>
        <v>0.33333333333333331</v>
      </c>
      <c r="E86" s="86">
        <f>NseMeas!H86</f>
        <v>438.4470651377784</v>
      </c>
      <c r="F86" s="4">
        <f t="shared" si="71"/>
        <v>4.0000000000000009</v>
      </c>
      <c r="G86" s="4">
        <f t="shared" si="72"/>
        <v>20</v>
      </c>
      <c r="H86" s="88">
        <f>10*LOG10(P1dbBWghz*1000000000*NseMeas!J86/NseMeas!BW)</f>
        <v>-28.652597449359142</v>
      </c>
      <c r="I86" s="4" t="b">
        <f t="shared" si="73"/>
        <v>0</v>
      </c>
      <c r="J86" s="87">
        <f>MAX(NseMeas!T86,K86/1000)</f>
        <v>825664854.90636683</v>
      </c>
      <c r="K86" s="87">
        <f>NseMeas!S86</f>
        <v>1844875354.154526</v>
      </c>
      <c r="L86" s="87">
        <f>NseMeas!X86</f>
        <v>1019210499.2481589</v>
      </c>
      <c r="M86" s="88">
        <f t="shared" si="58"/>
        <v>43.163202203876551</v>
      </c>
      <c r="N86" s="87">
        <f>4*K86*NseMeas!K86*Jitter1H1s/SQRT($BZ$4)</f>
        <v>2.283887131344474</v>
      </c>
      <c r="O86" s="4">
        <f t="shared" si="59"/>
        <v>0.2</v>
      </c>
      <c r="P86" s="4">
        <f t="shared" si="60"/>
        <v>0.1</v>
      </c>
      <c r="Q86" s="86">
        <f>MAX(0.1,P86/(1+(NseMeas!J86*J86/(NseMeas!L86*L86))))</f>
        <v>0.1</v>
      </c>
      <c r="R86" s="86">
        <f>MAX(0.1,P86/(1+((NseMeas!L86*L86)/(NseMeas!J86*J86))))</f>
        <v>0.1</v>
      </c>
      <c r="S86" s="87">
        <f>MAX(Calibration!Q86,T86/1000)</f>
        <v>6.4485344474614736E-2</v>
      </c>
      <c r="T86" s="87">
        <f>Calibration!P86</f>
        <v>1.0644853444746147</v>
      </c>
      <c r="U86" s="87">
        <f>ABS(Calibration!S86)</f>
        <v>1</v>
      </c>
      <c r="V86" s="88">
        <f>T_0*(10^((O86+DashBoard!$N$6)/10)-1)-N86</f>
        <v>48.436403801119091</v>
      </c>
      <c r="W86" s="87">
        <f>4*T86*NseMeas!T86*Jitter1H1s/SQRT($BZ$4)</f>
        <v>1488536.0455197236</v>
      </c>
      <c r="X86" s="4">
        <f t="shared" si="76"/>
        <v>944441210.55747628</v>
      </c>
      <c r="Y86" s="4">
        <f>MIN(DashBoard!$N$5/2, X86/2)</f>
        <v>5.5</v>
      </c>
      <c r="Z86" s="86">
        <f>MAX(0.1,Y86/(1+(Calibration!H86*S86/(Calibration!J86*U86))))</f>
        <v>2.1052992355230069</v>
      </c>
      <c r="AA86" s="86">
        <f>MAX(0.1,Y86/(1+((Calibration!J86*U86)/(Calibration!H86*S86))))</f>
        <v>3.3947007644769931</v>
      </c>
      <c r="AC86" s="4">
        <f t="shared" si="61"/>
        <v>3.3947007644769931</v>
      </c>
      <c r="AD86" s="4">
        <f t="shared" si="62"/>
        <v>5.5</v>
      </c>
      <c r="AE86" s="4">
        <f t="shared" si="63"/>
        <v>2.1052992355230069</v>
      </c>
      <c r="AF86" s="4">
        <f t="shared" si="64"/>
        <v>0.1</v>
      </c>
      <c r="AG86" s="4">
        <f t="shared" si="65"/>
        <v>0.1</v>
      </c>
      <c r="AH86" s="4">
        <f t="shared" si="66"/>
        <v>0.1</v>
      </c>
      <c r="AI86" s="4">
        <f t="shared" si="74"/>
        <v>0.30000000000000004</v>
      </c>
      <c r="AJ86" s="4">
        <f t="shared" si="75"/>
        <v>24.489999999999988</v>
      </c>
      <c r="AK86" s="4">
        <f t="shared" si="77"/>
        <v>17</v>
      </c>
      <c r="AL86" s="4">
        <f t="shared" si="67"/>
        <v>0</v>
      </c>
      <c r="AM86" s="4">
        <f t="shared" si="78"/>
        <v>0</v>
      </c>
      <c r="AN86" s="4">
        <f t="shared" si="79"/>
        <v>0</v>
      </c>
      <c r="AO86" s="4">
        <f t="shared" si="80"/>
        <v>0</v>
      </c>
      <c r="AP86" s="4">
        <f t="shared" si="81"/>
        <v>0</v>
      </c>
      <c r="AQ86" s="4">
        <f t="shared" si="82"/>
        <v>0</v>
      </c>
      <c r="AR86" s="4">
        <f t="shared" si="83"/>
        <v>0</v>
      </c>
      <c r="AS86" s="4">
        <f t="shared" si="84"/>
        <v>0</v>
      </c>
      <c r="AT86" s="4">
        <f t="shared" si="85"/>
        <v>0</v>
      </c>
      <c r="AU86" s="4">
        <f t="shared" si="86"/>
        <v>0</v>
      </c>
      <c r="AV86" s="4">
        <f t="shared" si="87"/>
        <v>0</v>
      </c>
      <c r="AW86" s="4">
        <f t="shared" si="88"/>
        <v>0</v>
      </c>
      <c r="AX86" s="4">
        <f t="shared" si="89"/>
        <v>0</v>
      </c>
      <c r="AY86" s="4">
        <f t="shared" si="90"/>
        <v>0</v>
      </c>
      <c r="AZ86" s="4">
        <f t="shared" si="91"/>
        <v>0</v>
      </c>
      <c r="BA86" s="4">
        <f t="shared" si="92"/>
        <v>0</v>
      </c>
      <c r="BB86" s="4">
        <f t="shared" si="93"/>
        <v>17</v>
      </c>
      <c r="BC86" s="4">
        <f t="shared" si="94"/>
        <v>0</v>
      </c>
      <c r="BD86" s="4">
        <f t="shared" si="95"/>
        <v>0</v>
      </c>
      <c r="BE86" s="4">
        <f t="shared" si="96"/>
        <v>0</v>
      </c>
      <c r="BF86" s="4">
        <f t="shared" si="97"/>
        <v>0</v>
      </c>
    </row>
    <row r="87" spans="1:58">
      <c r="A87" s="4">
        <f>MIN(StopFreqGHz+0.000001,FieldFox!A86+FreqStep)</f>
        <v>26.500001000000001</v>
      </c>
      <c r="B87" s="4">
        <f t="shared" si="68"/>
        <v>-152</v>
      </c>
      <c r="C87" s="4">
        <f t="shared" si="69"/>
        <v>2</v>
      </c>
      <c r="D87" s="4">
        <f t="shared" si="70"/>
        <v>0.33333333333333331</v>
      </c>
      <c r="E87" s="86">
        <f>NseMeas!H87</f>
        <v>438.4470651377784</v>
      </c>
      <c r="F87" s="4">
        <f t="shared" si="71"/>
        <v>4.0000000000000009</v>
      </c>
      <c r="G87" s="4">
        <f t="shared" si="72"/>
        <v>20</v>
      </c>
      <c r="H87" s="88">
        <f>10*LOG10(P1dbBWghz*1000000000*NseMeas!J87/NseMeas!BW)</f>
        <v>-28.652597449359142</v>
      </c>
      <c r="I87" s="4" t="b">
        <f t="shared" si="73"/>
        <v>0</v>
      </c>
      <c r="J87" s="87">
        <f>MAX(NseMeas!T87,K87/1000)</f>
        <v>825664854.90636683</v>
      </c>
      <c r="K87" s="87">
        <f>NseMeas!S87</f>
        <v>1844875354.154526</v>
      </c>
      <c r="L87" s="87">
        <f>NseMeas!X87</f>
        <v>1019210499.2481589</v>
      </c>
      <c r="M87" s="88">
        <f t="shared" si="58"/>
        <v>43.163202203876551</v>
      </c>
      <c r="N87" s="87">
        <f>4*K87*NseMeas!K87*Jitter1H1s/SQRT($BZ$4)</f>
        <v>2.283887131344474</v>
      </c>
      <c r="O87" s="4">
        <f t="shared" si="59"/>
        <v>0.2</v>
      </c>
      <c r="P87" s="4">
        <f t="shared" si="60"/>
        <v>0.1</v>
      </c>
      <c r="Q87" s="86">
        <f>MAX(0.1,P87/(1+(NseMeas!J87*J87/(NseMeas!L87*L87))))</f>
        <v>0.1</v>
      </c>
      <c r="R87" s="86">
        <f>MAX(0.1,P87/(1+((NseMeas!L87*L87)/(NseMeas!J87*J87))))</f>
        <v>0.1</v>
      </c>
      <c r="S87" s="87">
        <f>MAX(Calibration!Q87,T87/1000)</f>
        <v>6.4485344474614736E-2</v>
      </c>
      <c r="T87" s="87">
        <f>Calibration!P87</f>
        <v>1.0644853444746147</v>
      </c>
      <c r="U87" s="87">
        <f>ABS(Calibration!S87)</f>
        <v>1</v>
      </c>
      <c r="V87" s="88">
        <f>T_0*(10^((O87+DashBoard!$N$6)/10)-1)-N87</f>
        <v>48.436403801119091</v>
      </c>
      <c r="W87" s="87">
        <f>4*T87*NseMeas!T87*Jitter1H1s/SQRT($BZ$4)</f>
        <v>1488536.0455197236</v>
      </c>
      <c r="X87" s="4">
        <f t="shared" si="76"/>
        <v>944441210.55747628</v>
      </c>
      <c r="Y87" s="4">
        <f>MIN(DashBoard!$N$5/2, X87/2)</f>
        <v>5.5</v>
      </c>
      <c r="Z87" s="86">
        <f>MAX(0.1,Y87/(1+(Calibration!H87*S87/(Calibration!J87*U87))))</f>
        <v>2.1052992355230069</v>
      </c>
      <c r="AA87" s="86">
        <f>MAX(0.1,Y87/(1+((Calibration!J87*U87)/(Calibration!H87*S87))))</f>
        <v>3.3947007644769931</v>
      </c>
      <c r="AC87" s="4">
        <f t="shared" si="61"/>
        <v>3.3947007644769931</v>
      </c>
      <c r="AD87" s="4">
        <f t="shared" si="62"/>
        <v>5.5</v>
      </c>
      <c r="AE87" s="4">
        <f t="shared" si="63"/>
        <v>2.1052992355230069</v>
      </c>
      <c r="AF87" s="4">
        <f t="shared" si="64"/>
        <v>0.1</v>
      </c>
      <c r="AG87" s="4">
        <f t="shared" si="65"/>
        <v>0.1</v>
      </c>
      <c r="AH87" s="4">
        <f t="shared" si="66"/>
        <v>0.1</v>
      </c>
      <c r="AI87" s="4">
        <f t="shared" si="74"/>
        <v>0.30000000000000004</v>
      </c>
      <c r="AJ87" s="4">
        <f t="shared" si="75"/>
        <v>24.489999999999988</v>
      </c>
      <c r="AK87" s="4">
        <f t="shared" si="77"/>
        <v>17</v>
      </c>
      <c r="AL87" s="4">
        <f t="shared" si="67"/>
        <v>0</v>
      </c>
      <c r="AM87" s="4">
        <f t="shared" si="78"/>
        <v>0</v>
      </c>
      <c r="AN87" s="4">
        <f t="shared" si="79"/>
        <v>0</v>
      </c>
      <c r="AO87" s="4">
        <f t="shared" si="80"/>
        <v>0</v>
      </c>
      <c r="AP87" s="4">
        <f t="shared" si="81"/>
        <v>0</v>
      </c>
      <c r="AQ87" s="4">
        <f t="shared" si="82"/>
        <v>0</v>
      </c>
      <c r="AR87" s="4">
        <f t="shared" si="83"/>
        <v>0</v>
      </c>
      <c r="AS87" s="4">
        <f t="shared" si="84"/>
        <v>0</v>
      </c>
      <c r="AT87" s="4">
        <f t="shared" si="85"/>
        <v>0</v>
      </c>
      <c r="AU87" s="4">
        <f t="shared" si="86"/>
        <v>0</v>
      </c>
      <c r="AV87" s="4">
        <f t="shared" si="87"/>
        <v>0</v>
      </c>
      <c r="AW87" s="4">
        <f t="shared" si="88"/>
        <v>0</v>
      </c>
      <c r="AX87" s="4">
        <f t="shared" si="89"/>
        <v>0</v>
      </c>
      <c r="AY87" s="4">
        <f t="shared" si="90"/>
        <v>0</v>
      </c>
      <c r="AZ87" s="4">
        <f t="shared" si="91"/>
        <v>0</v>
      </c>
      <c r="BA87" s="4">
        <f t="shared" si="92"/>
        <v>0</v>
      </c>
      <c r="BB87" s="4">
        <f t="shared" si="93"/>
        <v>17</v>
      </c>
      <c r="BC87" s="4">
        <f t="shared" si="94"/>
        <v>0</v>
      </c>
      <c r="BD87" s="4">
        <f t="shared" si="95"/>
        <v>0</v>
      </c>
      <c r="BE87" s="4">
        <f t="shared" si="96"/>
        <v>0</v>
      </c>
      <c r="BF87" s="4">
        <f t="shared" si="97"/>
        <v>0</v>
      </c>
    </row>
    <row r="88" spans="1:58">
      <c r="A88" s="4">
        <f>MIN(StopFreqGHz+0.000001,FieldFox!A87+FreqStep)</f>
        <v>26.500001000000001</v>
      </c>
      <c r="B88" s="4">
        <f t="shared" si="68"/>
        <v>-152</v>
      </c>
      <c r="C88" s="4">
        <f t="shared" si="69"/>
        <v>2</v>
      </c>
      <c r="D88" s="4">
        <f t="shared" si="70"/>
        <v>0.33333333333333331</v>
      </c>
      <c r="E88" s="86">
        <f>NseMeas!H88</f>
        <v>438.4470651377784</v>
      </c>
      <c r="F88" s="4">
        <f t="shared" si="71"/>
        <v>4.0000000000000009</v>
      </c>
      <c r="G88" s="4">
        <f t="shared" si="72"/>
        <v>20</v>
      </c>
      <c r="H88" s="88">
        <f>10*LOG10(P1dbBWghz*1000000000*NseMeas!J88/NseMeas!BW)</f>
        <v>-28.652597449359142</v>
      </c>
      <c r="I88" s="4" t="b">
        <f t="shared" si="73"/>
        <v>0</v>
      </c>
      <c r="J88" s="87">
        <f>MAX(NseMeas!T88,K88/1000)</f>
        <v>825664854.90636683</v>
      </c>
      <c r="K88" s="87">
        <f>NseMeas!S88</f>
        <v>1844875354.154526</v>
      </c>
      <c r="L88" s="87">
        <f>NseMeas!X88</f>
        <v>1019210499.2481589</v>
      </c>
      <c r="M88" s="88">
        <f t="shared" si="58"/>
        <v>43.163202203876551</v>
      </c>
      <c r="N88" s="87">
        <f>4*K88*NseMeas!K88*Jitter1H1s/SQRT($BZ$4)</f>
        <v>2.283887131344474</v>
      </c>
      <c r="O88" s="4">
        <f t="shared" si="59"/>
        <v>0.2</v>
      </c>
      <c r="P88" s="4">
        <f t="shared" si="60"/>
        <v>0.1</v>
      </c>
      <c r="Q88" s="86">
        <f>MAX(0.1,P88/(1+(NseMeas!J88*J88/(NseMeas!L88*L88))))</f>
        <v>0.1</v>
      </c>
      <c r="R88" s="86">
        <f>MAX(0.1,P88/(1+((NseMeas!L88*L88)/(NseMeas!J88*J88))))</f>
        <v>0.1</v>
      </c>
      <c r="S88" s="87">
        <f>MAX(Calibration!Q88,T88/1000)</f>
        <v>6.4485344474614736E-2</v>
      </c>
      <c r="T88" s="87">
        <f>Calibration!P88</f>
        <v>1.0644853444746147</v>
      </c>
      <c r="U88" s="87">
        <f>ABS(Calibration!S88)</f>
        <v>1</v>
      </c>
      <c r="V88" s="88">
        <f>T_0*(10^((O88+DashBoard!$N$6)/10)-1)-N88</f>
        <v>48.436403801119091</v>
      </c>
      <c r="W88" s="87">
        <f>4*T88*NseMeas!T88*Jitter1H1s/SQRT($BZ$4)</f>
        <v>1488536.0455197236</v>
      </c>
      <c r="X88" s="4">
        <f t="shared" si="76"/>
        <v>944441210.55747628</v>
      </c>
      <c r="Y88" s="4">
        <f>MIN(DashBoard!$N$5/2, X88/2)</f>
        <v>5.5</v>
      </c>
      <c r="Z88" s="86">
        <f>MAX(0.1,Y88/(1+(Calibration!H88*S88/(Calibration!J88*U88))))</f>
        <v>2.1052992355230069</v>
      </c>
      <c r="AA88" s="86">
        <f>MAX(0.1,Y88/(1+((Calibration!J88*U88)/(Calibration!H88*S88))))</f>
        <v>3.3947007644769931</v>
      </c>
      <c r="AC88" s="4">
        <f t="shared" si="61"/>
        <v>3.3947007644769931</v>
      </c>
      <c r="AD88" s="4">
        <f t="shared" si="62"/>
        <v>5.5</v>
      </c>
      <c r="AE88" s="4">
        <f t="shared" si="63"/>
        <v>2.1052992355230069</v>
      </c>
      <c r="AF88" s="4">
        <f t="shared" si="64"/>
        <v>0.1</v>
      </c>
      <c r="AG88" s="4">
        <f t="shared" si="65"/>
        <v>0.1</v>
      </c>
      <c r="AH88" s="4">
        <f t="shared" si="66"/>
        <v>0.1</v>
      </c>
      <c r="AI88" s="4">
        <f t="shared" si="74"/>
        <v>0.30000000000000004</v>
      </c>
      <c r="AJ88" s="4">
        <f t="shared" si="75"/>
        <v>24.489999999999988</v>
      </c>
      <c r="AK88" s="4">
        <f t="shared" si="77"/>
        <v>17</v>
      </c>
      <c r="AL88" s="4">
        <f t="shared" si="67"/>
        <v>0</v>
      </c>
      <c r="AM88" s="4">
        <f t="shared" si="78"/>
        <v>0</v>
      </c>
      <c r="AN88" s="4">
        <f t="shared" si="79"/>
        <v>0</v>
      </c>
      <c r="AO88" s="4">
        <f t="shared" si="80"/>
        <v>0</v>
      </c>
      <c r="AP88" s="4">
        <f t="shared" si="81"/>
        <v>0</v>
      </c>
      <c r="AQ88" s="4">
        <f t="shared" si="82"/>
        <v>0</v>
      </c>
      <c r="AR88" s="4">
        <f t="shared" si="83"/>
        <v>0</v>
      </c>
      <c r="AS88" s="4">
        <f t="shared" si="84"/>
        <v>0</v>
      </c>
      <c r="AT88" s="4">
        <f t="shared" si="85"/>
        <v>0</v>
      </c>
      <c r="AU88" s="4">
        <f t="shared" si="86"/>
        <v>0</v>
      </c>
      <c r="AV88" s="4">
        <f t="shared" si="87"/>
        <v>0</v>
      </c>
      <c r="AW88" s="4">
        <f t="shared" si="88"/>
        <v>0</v>
      </c>
      <c r="AX88" s="4">
        <f t="shared" si="89"/>
        <v>0</v>
      </c>
      <c r="AY88" s="4">
        <f t="shared" si="90"/>
        <v>0</v>
      </c>
      <c r="AZ88" s="4">
        <f t="shared" si="91"/>
        <v>0</v>
      </c>
      <c r="BA88" s="4">
        <f t="shared" si="92"/>
        <v>0</v>
      </c>
      <c r="BB88" s="4">
        <f t="shared" si="93"/>
        <v>17</v>
      </c>
      <c r="BC88" s="4">
        <f t="shared" si="94"/>
        <v>0</v>
      </c>
      <c r="BD88" s="4">
        <f t="shared" si="95"/>
        <v>0</v>
      </c>
      <c r="BE88" s="4">
        <f t="shared" si="96"/>
        <v>0</v>
      </c>
      <c r="BF88" s="4">
        <f t="shared" si="97"/>
        <v>0</v>
      </c>
    </row>
    <row r="89" spans="1:58">
      <c r="A89" s="4">
        <f>MIN(StopFreqGHz+0.000001,FieldFox!A88+FreqStep)</f>
        <v>26.500001000000001</v>
      </c>
      <c r="B89" s="4">
        <f t="shared" si="68"/>
        <v>-152</v>
      </c>
      <c r="C89" s="4">
        <f t="shared" si="69"/>
        <v>2</v>
      </c>
      <c r="D89" s="4">
        <f t="shared" si="70"/>
        <v>0.33333333333333331</v>
      </c>
      <c r="E89" s="86">
        <f>NseMeas!H89</f>
        <v>438.4470651377784</v>
      </c>
      <c r="F89" s="4">
        <f t="shared" si="71"/>
        <v>4.0000000000000009</v>
      </c>
      <c r="G89" s="4">
        <f t="shared" si="72"/>
        <v>20</v>
      </c>
      <c r="H89" s="88">
        <f>10*LOG10(P1dbBWghz*1000000000*NseMeas!J89/NseMeas!BW)</f>
        <v>-28.652597449359142</v>
      </c>
      <c r="I89" s="4" t="b">
        <f t="shared" si="73"/>
        <v>0</v>
      </c>
      <c r="J89" s="87">
        <f>MAX(NseMeas!T89,K89/1000)</f>
        <v>825664854.90636683</v>
      </c>
      <c r="K89" s="87">
        <f>NseMeas!S89</f>
        <v>1844875354.154526</v>
      </c>
      <c r="L89" s="87">
        <f>NseMeas!X89</f>
        <v>1019210499.2481589</v>
      </c>
      <c r="M89" s="88">
        <f t="shared" si="58"/>
        <v>43.163202203876551</v>
      </c>
      <c r="N89" s="87">
        <f>4*K89*NseMeas!K89*Jitter1H1s/SQRT($BZ$4)</f>
        <v>2.283887131344474</v>
      </c>
      <c r="O89" s="4">
        <f t="shared" si="59"/>
        <v>0.2</v>
      </c>
      <c r="P89" s="4">
        <f t="shared" si="60"/>
        <v>0.1</v>
      </c>
      <c r="Q89" s="86">
        <f>MAX(0.1,P89/(1+(NseMeas!J89*J89/(NseMeas!L89*L89))))</f>
        <v>0.1</v>
      </c>
      <c r="R89" s="86">
        <f>MAX(0.1,P89/(1+((NseMeas!L89*L89)/(NseMeas!J89*J89))))</f>
        <v>0.1</v>
      </c>
      <c r="S89" s="87">
        <f>MAX(Calibration!Q89,T89/1000)</f>
        <v>6.4485344474614736E-2</v>
      </c>
      <c r="T89" s="87">
        <f>Calibration!P89</f>
        <v>1.0644853444746147</v>
      </c>
      <c r="U89" s="87">
        <f>ABS(Calibration!S89)</f>
        <v>1</v>
      </c>
      <c r="V89" s="88">
        <f>T_0*(10^((O89+DashBoard!$N$6)/10)-1)-N89</f>
        <v>48.436403801119091</v>
      </c>
      <c r="W89" s="87">
        <f>4*T89*NseMeas!T89*Jitter1H1s/SQRT($BZ$4)</f>
        <v>1488536.0455197236</v>
      </c>
      <c r="X89" s="4">
        <f t="shared" si="76"/>
        <v>944441210.55747628</v>
      </c>
      <c r="Y89" s="4">
        <f>MIN(DashBoard!$N$5/2, X89/2)</f>
        <v>5.5</v>
      </c>
      <c r="Z89" s="86">
        <f>MAX(0.1,Y89/(1+(Calibration!H89*S89/(Calibration!J89*U89))))</f>
        <v>2.1052992355230069</v>
      </c>
      <c r="AA89" s="86">
        <f>MAX(0.1,Y89/(1+((Calibration!J89*U89)/(Calibration!H89*S89))))</f>
        <v>3.3947007644769931</v>
      </c>
      <c r="AC89" s="4">
        <f t="shared" si="61"/>
        <v>3.3947007644769931</v>
      </c>
      <c r="AD89" s="4">
        <f t="shared" si="62"/>
        <v>5.5</v>
      </c>
      <c r="AE89" s="4">
        <f t="shared" si="63"/>
        <v>2.1052992355230069</v>
      </c>
      <c r="AF89" s="4">
        <f t="shared" si="64"/>
        <v>0.1</v>
      </c>
      <c r="AG89" s="4">
        <f t="shared" si="65"/>
        <v>0.1</v>
      </c>
      <c r="AH89" s="4">
        <f t="shared" si="66"/>
        <v>0.1</v>
      </c>
      <c r="AI89" s="4">
        <f t="shared" si="74"/>
        <v>0.30000000000000004</v>
      </c>
      <c r="AJ89" s="4">
        <f t="shared" si="75"/>
        <v>24.489999999999988</v>
      </c>
      <c r="AK89" s="4">
        <f t="shared" si="77"/>
        <v>17</v>
      </c>
      <c r="AL89" s="4">
        <f t="shared" si="67"/>
        <v>0</v>
      </c>
      <c r="AM89" s="4">
        <f t="shared" si="78"/>
        <v>0</v>
      </c>
      <c r="AN89" s="4">
        <f t="shared" si="79"/>
        <v>0</v>
      </c>
      <c r="AO89" s="4">
        <f t="shared" si="80"/>
        <v>0</v>
      </c>
      <c r="AP89" s="4">
        <f t="shared" si="81"/>
        <v>0</v>
      </c>
      <c r="AQ89" s="4">
        <f t="shared" si="82"/>
        <v>0</v>
      </c>
      <c r="AR89" s="4">
        <f t="shared" si="83"/>
        <v>0</v>
      </c>
      <c r="AS89" s="4">
        <f t="shared" si="84"/>
        <v>0</v>
      </c>
      <c r="AT89" s="4">
        <f t="shared" si="85"/>
        <v>0</v>
      </c>
      <c r="AU89" s="4">
        <f t="shared" si="86"/>
        <v>0</v>
      </c>
      <c r="AV89" s="4">
        <f t="shared" si="87"/>
        <v>0</v>
      </c>
      <c r="AW89" s="4">
        <f t="shared" si="88"/>
        <v>0</v>
      </c>
      <c r="AX89" s="4">
        <f t="shared" si="89"/>
        <v>0</v>
      </c>
      <c r="AY89" s="4">
        <f t="shared" si="90"/>
        <v>0</v>
      </c>
      <c r="AZ89" s="4">
        <f t="shared" si="91"/>
        <v>0</v>
      </c>
      <c r="BA89" s="4">
        <f t="shared" si="92"/>
        <v>0</v>
      </c>
      <c r="BB89" s="4">
        <f t="shared" si="93"/>
        <v>17</v>
      </c>
      <c r="BC89" s="4">
        <f t="shared" si="94"/>
        <v>0</v>
      </c>
      <c r="BD89" s="4">
        <f t="shared" si="95"/>
        <v>0</v>
      </c>
      <c r="BE89" s="4">
        <f t="shared" si="96"/>
        <v>0</v>
      </c>
      <c r="BF89" s="4">
        <f t="shared" si="97"/>
        <v>0</v>
      </c>
    </row>
    <row r="90" spans="1:58">
      <c r="A90" s="4">
        <f>MIN(StopFreqGHz+0.000001,FieldFox!A89+FreqStep)</f>
        <v>26.500001000000001</v>
      </c>
      <c r="B90" s="4">
        <f t="shared" si="68"/>
        <v>-152</v>
      </c>
      <c r="C90" s="4">
        <f t="shared" si="69"/>
        <v>2</v>
      </c>
      <c r="D90" s="4">
        <f t="shared" si="70"/>
        <v>0.33333333333333331</v>
      </c>
      <c r="E90" s="86">
        <f>NseMeas!H90</f>
        <v>438.4470651377784</v>
      </c>
      <c r="F90" s="4">
        <f t="shared" si="71"/>
        <v>4.0000000000000009</v>
      </c>
      <c r="G90" s="4">
        <f t="shared" si="72"/>
        <v>20</v>
      </c>
      <c r="H90" s="88">
        <f>10*LOG10(P1dbBWghz*1000000000*NseMeas!J90/NseMeas!BW)</f>
        <v>-28.652597449359142</v>
      </c>
      <c r="I90" s="4" t="b">
        <f t="shared" si="73"/>
        <v>0</v>
      </c>
      <c r="J90" s="87">
        <f>MAX(NseMeas!T90,K90/1000)</f>
        <v>825664854.90636683</v>
      </c>
      <c r="K90" s="87">
        <f>NseMeas!S90</f>
        <v>1844875354.154526</v>
      </c>
      <c r="L90" s="87">
        <f>NseMeas!X90</f>
        <v>1019210499.2481589</v>
      </c>
      <c r="M90" s="88">
        <f t="shared" si="58"/>
        <v>43.163202203876551</v>
      </c>
      <c r="N90" s="87">
        <f>4*K90*NseMeas!K90*Jitter1H1s/SQRT($BZ$4)</f>
        <v>2.283887131344474</v>
      </c>
      <c r="O90" s="4">
        <f t="shared" si="59"/>
        <v>0.2</v>
      </c>
      <c r="P90" s="4">
        <f t="shared" si="60"/>
        <v>0.1</v>
      </c>
      <c r="Q90" s="86">
        <f>MAX(0.1,P90/(1+(NseMeas!J90*J90/(NseMeas!L90*L90))))</f>
        <v>0.1</v>
      </c>
      <c r="R90" s="86">
        <f>MAX(0.1,P90/(1+((NseMeas!L90*L90)/(NseMeas!J90*J90))))</f>
        <v>0.1</v>
      </c>
      <c r="S90" s="87">
        <f>MAX(Calibration!Q90,T90/1000)</f>
        <v>6.4485344474614736E-2</v>
      </c>
      <c r="T90" s="87">
        <f>Calibration!P90</f>
        <v>1.0644853444746147</v>
      </c>
      <c r="U90" s="87">
        <f>ABS(Calibration!S90)</f>
        <v>1</v>
      </c>
      <c r="V90" s="88">
        <f>T_0*(10^((O90+DashBoard!$N$6)/10)-1)-N90</f>
        <v>48.436403801119091</v>
      </c>
      <c r="W90" s="87">
        <f>4*T90*NseMeas!T90*Jitter1H1s/SQRT($BZ$4)</f>
        <v>1488536.0455197236</v>
      </c>
      <c r="X90" s="4">
        <f t="shared" si="76"/>
        <v>944441210.55747628</v>
      </c>
      <c r="Y90" s="4">
        <f>MIN(DashBoard!$N$5/2, X90/2)</f>
        <v>5.5</v>
      </c>
      <c r="Z90" s="86">
        <f>MAX(0.1,Y90/(1+(Calibration!H90*S90/(Calibration!J90*U90))))</f>
        <v>2.1052992355230069</v>
      </c>
      <c r="AA90" s="86">
        <f>MAX(0.1,Y90/(1+((Calibration!J90*U90)/(Calibration!H90*S90))))</f>
        <v>3.3947007644769931</v>
      </c>
      <c r="AC90" s="4">
        <f t="shared" si="61"/>
        <v>3.3947007644769931</v>
      </c>
      <c r="AD90" s="4">
        <f t="shared" si="62"/>
        <v>5.5</v>
      </c>
      <c r="AE90" s="4">
        <f t="shared" si="63"/>
        <v>2.1052992355230069</v>
      </c>
      <c r="AF90" s="4">
        <f t="shared" si="64"/>
        <v>0.1</v>
      </c>
      <c r="AG90" s="4">
        <f t="shared" si="65"/>
        <v>0.1</v>
      </c>
      <c r="AH90" s="4">
        <f t="shared" si="66"/>
        <v>0.1</v>
      </c>
      <c r="AI90" s="4">
        <f t="shared" si="74"/>
        <v>0.30000000000000004</v>
      </c>
      <c r="AJ90" s="4">
        <f t="shared" si="75"/>
        <v>24.489999999999988</v>
      </c>
      <c r="AK90" s="4">
        <f t="shared" si="77"/>
        <v>17</v>
      </c>
      <c r="AL90" s="4">
        <f t="shared" si="67"/>
        <v>0</v>
      </c>
      <c r="AM90" s="4">
        <f t="shared" si="78"/>
        <v>0</v>
      </c>
      <c r="AN90" s="4">
        <f t="shared" si="79"/>
        <v>0</v>
      </c>
      <c r="AO90" s="4">
        <f t="shared" si="80"/>
        <v>0</v>
      </c>
      <c r="AP90" s="4">
        <f t="shared" si="81"/>
        <v>0</v>
      </c>
      <c r="AQ90" s="4">
        <f t="shared" si="82"/>
        <v>0</v>
      </c>
      <c r="AR90" s="4">
        <f t="shared" si="83"/>
        <v>0</v>
      </c>
      <c r="AS90" s="4">
        <f t="shared" si="84"/>
        <v>0</v>
      </c>
      <c r="AT90" s="4">
        <f t="shared" si="85"/>
        <v>0</v>
      </c>
      <c r="AU90" s="4">
        <f t="shared" si="86"/>
        <v>0</v>
      </c>
      <c r="AV90" s="4">
        <f t="shared" si="87"/>
        <v>0</v>
      </c>
      <c r="AW90" s="4">
        <f t="shared" si="88"/>
        <v>0</v>
      </c>
      <c r="AX90" s="4">
        <f t="shared" si="89"/>
        <v>0</v>
      </c>
      <c r="AY90" s="4">
        <f t="shared" si="90"/>
        <v>0</v>
      </c>
      <c r="AZ90" s="4">
        <f t="shared" si="91"/>
        <v>0</v>
      </c>
      <c r="BA90" s="4">
        <f t="shared" si="92"/>
        <v>0</v>
      </c>
      <c r="BB90" s="4">
        <f t="shared" si="93"/>
        <v>17</v>
      </c>
      <c r="BC90" s="4">
        <f t="shared" si="94"/>
        <v>0</v>
      </c>
      <c r="BD90" s="4">
        <f t="shared" si="95"/>
        <v>0</v>
      </c>
      <c r="BE90" s="4">
        <f t="shared" si="96"/>
        <v>0</v>
      </c>
      <c r="BF90" s="4">
        <f t="shared" si="97"/>
        <v>0</v>
      </c>
    </row>
    <row r="91" spans="1:58">
      <c r="A91" s="4">
        <f>MIN(StopFreqGHz+0.000001,FieldFox!A90+FreqStep)</f>
        <v>26.500001000000001</v>
      </c>
      <c r="B91" s="4">
        <f t="shared" si="68"/>
        <v>-152</v>
      </c>
      <c r="C91" s="4">
        <f t="shared" si="69"/>
        <v>2</v>
      </c>
      <c r="D91" s="4">
        <f t="shared" si="70"/>
        <v>0.33333333333333331</v>
      </c>
      <c r="E91" s="86">
        <f>NseMeas!H91</f>
        <v>438.4470651377784</v>
      </c>
      <c r="F91" s="4">
        <f t="shared" si="71"/>
        <v>4.0000000000000009</v>
      </c>
      <c r="G91" s="4">
        <f t="shared" si="72"/>
        <v>20</v>
      </c>
      <c r="H91" s="88">
        <f>10*LOG10(P1dbBWghz*1000000000*NseMeas!J91/NseMeas!BW)</f>
        <v>-28.652597449359142</v>
      </c>
      <c r="I91" s="4" t="b">
        <f t="shared" si="73"/>
        <v>0</v>
      </c>
      <c r="J91" s="87">
        <f>MAX(NseMeas!T91,K91/1000)</f>
        <v>825664854.90636683</v>
      </c>
      <c r="K91" s="87">
        <f>NseMeas!S91</f>
        <v>1844875354.154526</v>
      </c>
      <c r="L91" s="87">
        <f>NseMeas!X91</f>
        <v>1019210499.2481589</v>
      </c>
      <c r="M91" s="88">
        <f t="shared" si="58"/>
        <v>43.163202203876551</v>
      </c>
      <c r="N91" s="87">
        <f>4*K91*NseMeas!K91*Jitter1H1s/SQRT($BZ$4)</f>
        <v>2.283887131344474</v>
      </c>
      <c r="O91" s="4">
        <f t="shared" si="59"/>
        <v>0.2</v>
      </c>
      <c r="P91" s="4">
        <f t="shared" si="60"/>
        <v>0.1</v>
      </c>
      <c r="Q91" s="86">
        <f>MAX(0.1,P91/(1+(NseMeas!J91*J91/(NseMeas!L91*L91))))</f>
        <v>0.1</v>
      </c>
      <c r="R91" s="86">
        <f>MAX(0.1,P91/(1+((NseMeas!L91*L91)/(NseMeas!J91*J91))))</f>
        <v>0.1</v>
      </c>
      <c r="S91" s="87">
        <f>MAX(Calibration!Q91,T91/1000)</f>
        <v>6.4485344474614736E-2</v>
      </c>
      <c r="T91" s="87">
        <f>Calibration!P91</f>
        <v>1.0644853444746147</v>
      </c>
      <c r="U91" s="87">
        <f>ABS(Calibration!S91)</f>
        <v>1</v>
      </c>
      <c r="V91" s="88">
        <f>T_0*(10^((O91+DashBoard!$N$6)/10)-1)-N91</f>
        <v>48.436403801119091</v>
      </c>
      <c r="W91" s="87">
        <f>4*T91*NseMeas!T91*Jitter1H1s/SQRT($BZ$4)</f>
        <v>1488536.0455197236</v>
      </c>
      <c r="X91" s="4">
        <f t="shared" si="76"/>
        <v>944441210.55747628</v>
      </c>
      <c r="Y91" s="4">
        <f>MIN(DashBoard!$N$5/2, X91/2)</f>
        <v>5.5</v>
      </c>
      <c r="Z91" s="86">
        <f>MAX(0.1,Y91/(1+(Calibration!H91*S91/(Calibration!J91*U91))))</f>
        <v>2.1052992355230069</v>
      </c>
      <c r="AA91" s="86">
        <f>MAX(0.1,Y91/(1+((Calibration!J91*U91)/(Calibration!H91*S91))))</f>
        <v>3.3947007644769931</v>
      </c>
      <c r="AC91" s="4">
        <f t="shared" si="61"/>
        <v>3.3947007644769931</v>
      </c>
      <c r="AD91" s="4">
        <f t="shared" si="62"/>
        <v>5.5</v>
      </c>
      <c r="AE91" s="4">
        <f t="shared" si="63"/>
        <v>2.1052992355230069</v>
      </c>
      <c r="AF91" s="4">
        <f t="shared" si="64"/>
        <v>0.1</v>
      </c>
      <c r="AG91" s="4">
        <f t="shared" si="65"/>
        <v>0.1</v>
      </c>
      <c r="AH91" s="4">
        <f t="shared" si="66"/>
        <v>0.1</v>
      </c>
      <c r="AI91" s="4">
        <f t="shared" si="74"/>
        <v>0.30000000000000004</v>
      </c>
      <c r="AJ91" s="4">
        <f t="shared" si="75"/>
        <v>24.489999999999988</v>
      </c>
      <c r="AK91" s="4">
        <f t="shared" si="77"/>
        <v>17</v>
      </c>
      <c r="AL91" s="4">
        <f t="shared" si="67"/>
        <v>0</v>
      </c>
      <c r="AM91" s="4">
        <f t="shared" si="78"/>
        <v>0</v>
      </c>
      <c r="AN91" s="4">
        <f t="shared" si="79"/>
        <v>0</v>
      </c>
      <c r="AO91" s="4">
        <f t="shared" si="80"/>
        <v>0</v>
      </c>
      <c r="AP91" s="4">
        <f t="shared" si="81"/>
        <v>0</v>
      </c>
      <c r="AQ91" s="4">
        <f t="shared" si="82"/>
        <v>0</v>
      </c>
      <c r="AR91" s="4">
        <f t="shared" si="83"/>
        <v>0</v>
      </c>
      <c r="AS91" s="4">
        <f t="shared" si="84"/>
        <v>0</v>
      </c>
      <c r="AT91" s="4">
        <f t="shared" si="85"/>
        <v>0</v>
      </c>
      <c r="AU91" s="4">
        <f t="shared" si="86"/>
        <v>0</v>
      </c>
      <c r="AV91" s="4">
        <f t="shared" si="87"/>
        <v>0</v>
      </c>
      <c r="AW91" s="4">
        <f t="shared" si="88"/>
        <v>0</v>
      </c>
      <c r="AX91" s="4">
        <f t="shared" si="89"/>
        <v>0</v>
      </c>
      <c r="AY91" s="4">
        <f t="shared" si="90"/>
        <v>0</v>
      </c>
      <c r="AZ91" s="4">
        <f t="shared" si="91"/>
        <v>0</v>
      </c>
      <c r="BA91" s="4">
        <f t="shared" si="92"/>
        <v>0</v>
      </c>
      <c r="BB91" s="4">
        <f t="shared" si="93"/>
        <v>17</v>
      </c>
      <c r="BC91" s="4">
        <f t="shared" si="94"/>
        <v>0</v>
      </c>
      <c r="BD91" s="4">
        <f t="shared" si="95"/>
        <v>0</v>
      </c>
      <c r="BE91" s="4">
        <f t="shared" si="96"/>
        <v>0</v>
      </c>
      <c r="BF91" s="4">
        <f t="shared" si="97"/>
        <v>0</v>
      </c>
    </row>
    <row r="92" spans="1:58">
      <c r="A92" s="4">
        <f>MIN(StopFreqGHz+0.000001,FieldFox!A91+FreqStep)</f>
        <v>26.500001000000001</v>
      </c>
      <c r="B92" s="4">
        <f t="shared" si="68"/>
        <v>-152</v>
      </c>
      <c r="C92" s="4">
        <f t="shared" si="69"/>
        <v>2</v>
      </c>
      <c r="D92" s="4">
        <f t="shared" si="70"/>
        <v>0.33333333333333331</v>
      </c>
      <c r="E92" s="86">
        <f>NseMeas!H92</f>
        <v>438.4470651377784</v>
      </c>
      <c r="F92" s="4">
        <f t="shared" si="71"/>
        <v>4.0000000000000009</v>
      </c>
      <c r="G92" s="4">
        <f t="shared" si="72"/>
        <v>20</v>
      </c>
      <c r="H92" s="88">
        <f>10*LOG10(P1dbBWghz*1000000000*NseMeas!J92/NseMeas!BW)</f>
        <v>-28.652597449359142</v>
      </c>
      <c r="I92" s="4" t="b">
        <f t="shared" si="73"/>
        <v>0</v>
      </c>
      <c r="J92" s="87">
        <f>MAX(NseMeas!T92,K92/1000)</f>
        <v>825664854.90636683</v>
      </c>
      <c r="K92" s="87">
        <f>NseMeas!S92</f>
        <v>1844875354.154526</v>
      </c>
      <c r="L92" s="87">
        <f>NseMeas!X92</f>
        <v>1019210499.2481589</v>
      </c>
      <c r="M92" s="88">
        <f t="shared" si="58"/>
        <v>43.163202203876551</v>
      </c>
      <c r="N92" s="87">
        <f>4*K92*NseMeas!K92*Jitter1H1s/SQRT($BZ$4)</f>
        <v>2.283887131344474</v>
      </c>
      <c r="O92" s="4">
        <f t="shared" si="59"/>
        <v>0.2</v>
      </c>
      <c r="P92" s="4">
        <f t="shared" si="60"/>
        <v>0.1</v>
      </c>
      <c r="Q92" s="86">
        <f>MAX(0.1,P92/(1+(NseMeas!J92*J92/(NseMeas!L92*L92))))</f>
        <v>0.1</v>
      </c>
      <c r="R92" s="86">
        <f>MAX(0.1,P92/(1+((NseMeas!L92*L92)/(NseMeas!J92*J92))))</f>
        <v>0.1</v>
      </c>
      <c r="S92" s="87">
        <f>MAX(Calibration!Q92,T92/1000)</f>
        <v>6.4485344474614736E-2</v>
      </c>
      <c r="T92" s="87">
        <f>Calibration!P92</f>
        <v>1.0644853444746147</v>
      </c>
      <c r="U92" s="87">
        <f>ABS(Calibration!S92)</f>
        <v>1</v>
      </c>
      <c r="V92" s="88">
        <f>T_0*(10^((O92+DashBoard!$N$6)/10)-1)-N92</f>
        <v>48.436403801119091</v>
      </c>
      <c r="W92" s="87">
        <f>4*T92*NseMeas!T92*Jitter1H1s/SQRT($BZ$4)</f>
        <v>1488536.0455197236</v>
      </c>
      <c r="X92" s="4">
        <f t="shared" si="76"/>
        <v>944441210.55747628</v>
      </c>
      <c r="Y92" s="4">
        <f>MIN(DashBoard!$N$5/2, X92/2)</f>
        <v>5.5</v>
      </c>
      <c r="Z92" s="86">
        <f>MAX(0.1,Y92/(1+(Calibration!H92*S92/(Calibration!J92*U92))))</f>
        <v>2.1052992355230069</v>
      </c>
      <c r="AA92" s="86">
        <f>MAX(0.1,Y92/(1+((Calibration!J92*U92)/(Calibration!H92*S92))))</f>
        <v>3.3947007644769931</v>
      </c>
      <c r="AC92" s="4">
        <f t="shared" si="61"/>
        <v>3.3947007644769931</v>
      </c>
      <c r="AD92" s="4">
        <f t="shared" si="62"/>
        <v>5.5</v>
      </c>
      <c r="AE92" s="4">
        <f t="shared" si="63"/>
        <v>2.1052992355230069</v>
      </c>
      <c r="AF92" s="4">
        <f t="shared" si="64"/>
        <v>0.1</v>
      </c>
      <c r="AG92" s="4">
        <f t="shared" si="65"/>
        <v>0.1</v>
      </c>
      <c r="AH92" s="4">
        <f t="shared" si="66"/>
        <v>0.1</v>
      </c>
      <c r="AI92" s="4">
        <f t="shared" si="74"/>
        <v>0.30000000000000004</v>
      </c>
      <c r="AJ92" s="4">
        <f t="shared" si="75"/>
        <v>24.489999999999988</v>
      </c>
      <c r="AK92" s="4">
        <f t="shared" si="77"/>
        <v>17</v>
      </c>
      <c r="AL92" s="4">
        <f t="shared" si="67"/>
        <v>0</v>
      </c>
      <c r="AM92" s="4">
        <f t="shared" si="78"/>
        <v>0</v>
      </c>
      <c r="AN92" s="4">
        <f t="shared" si="79"/>
        <v>0</v>
      </c>
      <c r="AO92" s="4">
        <f t="shared" si="80"/>
        <v>0</v>
      </c>
      <c r="AP92" s="4">
        <f t="shared" si="81"/>
        <v>0</v>
      </c>
      <c r="AQ92" s="4">
        <f t="shared" si="82"/>
        <v>0</v>
      </c>
      <c r="AR92" s="4">
        <f t="shared" si="83"/>
        <v>0</v>
      </c>
      <c r="AS92" s="4">
        <f t="shared" si="84"/>
        <v>0</v>
      </c>
      <c r="AT92" s="4">
        <f t="shared" si="85"/>
        <v>0</v>
      </c>
      <c r="AU92" s="4">
        <f t="shared" si="86"/>
        <v>0</v>
      </c>
      <c r="AV92" s="4">
        <f t="shared" si="87"/>
        <v>0</v>
      </c>
      <c r="AW92" s="4">
        <f t="shared" si="88"/>
        <v>0</v>
      </c>
      <c r="AX92" s="4">
        <f t="shared" si="89"/>
        <v>0</v>
      </c>
      <c r="AY92" s="4">
        <f t="shared" si="90"/>
        <v>0</v>
      </c>
      <c r="AZ92" s="4">
        <f t="shared" si="91"/>
        <v>0</v>
      </c>
      <c r="BA92" s="4">
        <f t="shared" si="92"/>
        <v>0</v>
      </c>
      <c r="BB92" s="4">
        <f t="shared" si="93"/>
        <v>17</v>
      </c>
      <c r="BC92" s="4">
        <f t="shared" si="94"/>
        <v>0</v>
      </c>
      <c r="BD92" s="4">
        <f t="shared" si="95"/>
        <v>0</v>
      </c>
      <c r="BE92" s="4">
        <f t="shared" si="96"/>
        <v>0</v>
      </c>
      <c r="BF92" s="4">
        <f t="shared" si="97"/>
        <v>0</v>
      </c>
    </row>
    <row r="93" spans="1:58">
      <c r="A93" s="4">
        <f>MIN(StopFreqGHz+0.000001,FieldFox!A92+FreqStep)</f>
        <v>26.500001000000001</v>
      </c>
      <c r="B93" s="4">
        <f t="shared" si="68"/>
        <v>-152</v>
      </c>
      <c r="C93" s="4">
        <f t="shared" si="69"/>
        <v>2</v>
      </c>
      <c r="D93" s="4">
        <f t="shared" si="70"/>
        <v>0.33333333333333331</v>
      </c>
      <c r="E93" s="86">
        <f>NseMeas!H93</f>
        <v>438.4470651377784</v>
      </c>
      <c r="F93" s="4">
        <f t="shared" si="71"/>
        <v>4.0000000000000009</v>
      </c>
      <c r="G93" s="4">
        <f t="shared" si="72"/>
        <v>20</v>
      </c>
      <c r="H93" s="88">
        <f>10*LOG10(P1dbBWghz*1000000000*NseMeas!J93/NseMeas!BW)</f>
        <v>-28.652597449359142</v>
      </c>
      <c r="I93" s="4" t="b">
        <f t="shared" si="73"/>
        <v>0</v>
      </c>
      <c r="J93" s="87">
        <f>MAX(NseMeas!T93,K93/1000)</f>
        <v>825664854.90636683</v>
      </c>
      <c r="K93" s="87">
        <f>NseMeas!S93</f>
        <v>1844875354.154526</v>
      </c>
      <c r="L93" s="87">
        <f>NseMeas!X93</f>
        <v>1019210499.2481589</v>
      </c>
      <c r="M93" s="88">
        <f t="shared" si="58"/>
        <v>43.163202203876551</v>
      </c>
      <c r="N93" s="87">
        <f>4*K93*NseMeas!K93*Jitter1H1s/SQRT($BZ$4)</f>
        <v>2.283887131344474</v>
      </c>
      <c r="O93" s="4">
        <f t="shared" si="59"/>
        <v>0.2</v>
      </c>
      <c r="P93" s="4">
        <f t="shared" si="60"/>
        <v>0.1</v>
      </c>
      <c r="Q93" s="86">
        <f>MAX(0.1,P93/(1+(NseMeas!J93*J93/(NseMeas!L93*L93))))</f>
        <v>0.1</v>
      </c>
      <c r="R93" s="86">
        <f>MAX(0.1,P93/(1+((NseMeas!L93*L93)/(NseMeas!J93*J93))))</f>
        <v>0.1</v>
      </c>
      <c r="S93" s="87">
        <f>MAX(Calibration!Q93,T93/1000)</f>
        <v>6.4485344474614736E-2</v>
      </c>
      <c r="T93" s="87">
        <f>Calibration!P93</f>
        <v>1.0644853444746147</v>
      </c>
      <c r="U93" s="87">
        <f>ABS(Calibration!S93)</f>
        <v>1</v>
      </c>
      <c r="V93" s="88">
        <f>T_0*(10^((O93+DashBoard!$N$6)/10)-1)-N93</f>
        <v>48.436403801119091</v>
      </c>
      <c r="W93" s="87">
        <f>4*T93*NseMeas!T93*Jitter1H1s/SQRT($BZ$4)</f>
        <v>1488536.0455197236</v>
      </c>
      <c r="X93" s="4">
        <f t="shared" si="76"/>
        <v>944441210.55747628</v>
      </c>
      <c r="Y93" s="4">
        <f>MIN(DashBoard!$N$5/2, X93/2)</f>
        <v>5.5</v>
      </c>
      <c r="Z93" s="86">
        <f>MAX(0.1,Y93/(1+(Calibration!H93*S93/(Calibration!J93*U93))))</f>
        <v>2.1052992355230069</v>
      </c>
      <c r="AA93" s="86">
        <f>MAX(0.1,Y93/(1+((Calibration!J93*U93)/(Calibration!H93*S93))))</f>
        <v>3.3947007644769931</v>
      </c>
      <c r="AC93" s="4">
        <f t="shared" si="61"/>
        <v>3.3947007644769931</v>
      </c>
      <c r="AD93" s="4">
        <f t="shared" si="62"/>
        <v>5.5</v>
      </c>
      <c r="AE93" s="4">
        <f t="shared" si="63"/>
        <v>2.1052992355230069</v>
      </c>
      <c r="AF93" s="4">
        <f t="shared" si="64"/>
        <v>0.1</v>
      </c>
      <c r="AG93" s="4">
        <f t="shared" si="65"/>
        <v>0.1</v>
      </c>
      <c r="AH93" s="4">
        <f t="shared" si="66"/>
        <v>0.1</v>
      </c>
      <c r="AI93" s="4">
        <f t="shared" si="74"/>
        <v>0.30000000000000004</v>
      </c>
      <c r="AJ93" s="4">
        <f t="shared" si="75"/>
        <v>24.489999999999988</v>
      </c>
      <c r="AK93" s="4">
        <f t="shared" si="77"/>
        <v>17</v>
      </c>
      <c r="AL93" s="4">
        <f t="shared" si="67"/>
        <v>0</v>
      </c>
      <c r="AM93" s="4">
        <f t="shared" si="78"/>
        <v>0</v>
      </c>
      <c r="AN93" s="4">
        <f t="shared" si="79"/>
        <v>0</v>
      </c>
      <c r="AO93" s="4">
        <f t="shared" si="80"/>
        <v>0</v>
      </c>
      <c r="AP93" s="4">
        <f t="shared" si="81"/>
        <v>0</v>
      </c>
      <c r="AQ93" s="4">
        <f t="shared" si="82"/>
        <v>0</v>
      </c>
      <c r="AR93" s="4">
        <f t="shared" si="83"/>
        <v>0</v>
      </c>
      <c r="AS93" s="4">
        <f t="shared" si="84"/>
        <v>0</v>
      </c>
      <c r="AT93" s="4">
        <f t="shared" si="85"/>
        <v>0</v>
      </c>
      <c r="AU93" s="4">
        <f t="shared" si="86"/>
        <v>0</v>
      </c>
      <c r="AV93" s="4">
        <f t="shared" si="87"/>
        <v>0</v>
      </c>
      <c r="AW93" s="4">
        <f t="shared" si="88"/>
        <v>0</v>
      </c>
      <c r="AX93" s="4">
        <f t="shared" si="89"/>
        <v>0</v>
      </c>
      <c r="AY93" s="4">
        <f t="shared" si="90"/>
        <v>0</v>
      </c>
      <c r="AZ93" s="4">
        <f t="shared" si="91"/>
        <v>0</v>
      </c>
      <c r="BA93" s="4">
        <f t="shared" si="92"/>
        <v>0</v>
      </c>
      <c r="BB93" s="4">
        <f t="shared" si="93"/>
        <v>17</v>
      </c>
      <c r="BC93" s="4">
        <f t="shared" si="94"/>
        <v>0</v>
      </c>
      <c r="BD93" s="4">
        <f t="shared" si="95"/>
        <v>0</v>
      </c>
      <c r="BE93" s="4">
        <f t="shared" si="96"/>
        <v>0</v>
      </c>
      <c r="BF93" s="4">
        <f t="shared" si="97"/>
        <v>0</v>
      </c>
    </row>
    <row r="94" spans="1:58">
      <c r="A94" s="4">
        <f>MIN(StopFreqGHz+0.000001,FieldFox!A93+FreqStep)</f>
        <v>26.500001000000001</v>
      </c>
      <c r="B94" s="4">
        <f t="shared" si="68"/>
        <v>-152</v>
      </c>
      <c r="C94" s="4">
        <f t="shared" si="69"/>
        <v>2</v>
      </c>
      <c r="D94" s="4">
        <f t="shared" si="70"/>
        <v>0.33333333333333331</v>
      </c>
      <c r="E94" s="86">
        <f>NseMeas!H94</f>
        <v>438.4470651377784</v>
      </c>
      <c r="F94" s="4">
        <f t="shared" si="71"/>
        <v>4.0000000000000009</v>
      </c>
      <c r="G94" s="4">
        <f t="shared" si="72"/>
        <v>20</v>
      </c>
      <c r="H94" s="88">
        <f>10*LOG10(P1dbBWghz*1000000000*NseMeas!J94/NseMeas!BW)</f>
        <v>-28.652597449359142</v>
      </c>
      <c r="I94" s="4" t="b">
        <f t="shared" si="73"/>
        <v>0</v>
      </c>
      <c r="J94" s="87">
        <f>MAX(NseMeas!T94,K94/1000)</f>
        <v>825664854.90636683</v>
      </c>
      <c r="K94" s="87">
        <f>NseMeas!S94</f>
        <v>1844875354.154526</v>
      </c>
      <c r="L94" s="87">
        <f>NseMeas!X94</f>
        <v>1019210499.2481589</v>
      </c>
      <c r="M94" s="88">
        <f t="shared" si="58"/>
        <v>43.163202203876551</v>
      </c>
      <c r="N94" s="87">
        <f>4*K94*NseMeas!K94*Jitter1H1s/SQRT($BZ$4)</f>
        <v>2.283887131344474</v>
      </c>
      <c r="O94" s="4">
        <f t="shared" si="59"/>
        <v>0.2</v>
      </c>
      <c r="P94" s="4">
        <f t="shared" si="60"/>
        <v>0.1</v>
      </c>
      <c r="Q94" s="86">
        <f>MAX(0.1,P94/(1+(NseMeas!J94*J94/(NseMeas!L94*L94))))</f>
        <v>0.1</v>
      </c>
      <c r="R94" s="86">
        <f>MAX(0.1,P94/(1+((NseMeas!L94*L94)/(NseMeas!J94*J94))))</f>
        <v>0.1</v>
      </c>
      <c r="S94" s="87">
        <f>MAX(Calibration!Q94,T94/1000)</f>
        <v>6.4485344474614736E-2</v>
      </c>
      <c r="T94" s="87">
        <f>Calibration!P94</f>
        <v>1.0644853444746147</v>
      </c>
      <c r="U94" s="87">
        <f>ABS(Calibration!S94)</f>
        <v>1</v>
      </c>
      <c r="V94" s="88">
        <f>T_0*(10^((O94+DashBoard!$N$6)/10)-1)-N94</f>
        <v>48.436403801119091</v>
      </c>
      <c r="W94" s="87">
        <f>4*T94*NseMeas!T94*Jitter1H1s/SQRT($BZ$4)</f>
        <v>1488536.0455197236</v>
      </c>
      <c r="X94" s="4">
        <f t="shared" si="76"/>
        <v>944441210.55747628</v>
      </c>
      <c r="Y94" s="4">
        <f>MIN(DashBoard!$N$5/2, X94/2)</f>
        <v>5.5</v>
      </c>
      <c r="Z94" s="86">
        <f>MAX(0.1,Y94/(1+(Calibration!H94*S94/(Calibration!J94*U94))))</f>
        <v>2.1052992355230069</v>
      </c>
      <c r="AA94" s="86">
        <f>MAX(0.1,Y94/(1+((Calibration!J94*U94)/(Calibration!H94*S94))))</f>
        <v>3.3947007644769931</v>
      </c>
      <c r="AC94" s="4">
        <f t="shared" si="61"/>
        <v>3.3947007644769931</v>
      </c>
      <c r="AD94" s="4">
        <f t="shared" si="62"/>
        <v>5.5</v>
      </c>
      <c r="AE94" s="4">
        <f t="shared" si="63"/>
        <v>2.1052992355230069</v>
      </c>
      <c r="AF94" s="4">
        <f t="shared" si="64"/>
        <v>0.1</v>
      </c>
      <c r="AG94" s="4">
        <f t="shared" si="65"/>
        <v>0.1</v>
      </c>
      <c r="AH94" s="4">
        <f t="shared" si="66"/>
        <v>0.1</v>
      </c>
      <c r="AI94" s="4">
        <f t="shared" si="74"/>
        <v>0.30000000000000004</v>
      </c>
      <c r="AJ94" s="4">
        <f t="shared" si="75"/>
        <v>24.489999999999988</v>
      </c>
      <c r="AK94" s="4">
        <f t="shared" si="77"/>
        <v>17</v>
      </c>
      <c r="AL94" s="4">
        <f t="shared" si="67"/>
        <v>0</v>
      </c>
      <c r="AM94" s="4">
        <f t="shared" si="78"/>
        <v>0</v>
      </c>
      <c r="AN94" s="4">
        <f t="shared" si="79"/>
        <v>0</v>
      </c>
      <c r="AO94" s="4">
        <f t="shared" si="80"/>
        <v>0</v>
      </c>
      <c r="AP94" s="4">
        <f t="shared" si="81"/>
        <v>0</v>
      </c>
      <c r="AQ94" s="4">
        <f t="shared" si="82"/>
        <v>0</v>
      </c>
      <c r="AR94" s="4">
        <f t="shared" si="83"/>
        <v>0</v>
      </c>
      <c r="AS94" s="4">
        <f t="shared" si="84"/>
        <v>0</v>
      </c>
      <c r="AT94" s="4">
        <f t="shared" si="85"/>
        <v>0</v>
      </c>
      <c r="AU94" s="4">
        <f t="shared" si="86"/>
        <v>0</v>
      </c>
      <c r="AV94" s="4">
        <f t="shared" si="87"/>
        <v>0</v>
      </c>
      <c r="AW94" s="4">
        <f t="shared" si="88"/>
        <v>0</v>
      </c>
      <c r="AX94" s="4">
        <f t="shared" si="89"/>
        <v>0</v>
      </c>
      <c r="AY94" s="4">
        <f t="shared" si="90"/>
        <v>0</v>
      </c>
      <c r="AZ94" s="4">
        <f t="shared" si="91"/>
        <v>0</v>
      </c>
      <c r="BA94" s="4">
        <f t="shared" si="92"/>
        <v>0</v>
      </c>
      <c r="BB94" s="4">
        <f t="shared" si="93"/>
        <v>17</v>
      </c>
      <c r="BC94" s="4">
        <f t="shared" si="94"/>
        <v>0</v>
      </c>
      <c r="BD94" s="4">
        <f t="shared" si="95"/>
        <v>0</v>
      </c>
      <c r="BE94" s="4">
        <f t="shared" si="96"/>
        <v>0</v>
      </c>
      <c r="BF94" s="4">
        <f t="shared" si="97"/>
        <v>0</v>
      </c>
    </row>
    <row r="95" spans="1:58">
      <c r="A95" s="4">
        <f>MIN(StopFreqGHz+0.000001,FieldFox!A94+FreqStep)</f>
        <v>26.500001000000001</v>
      </c>
      <c r="B95" s="4">
        <f t="shared" si="68"/>
        <v>-152</v>
      </c>
      <c r="C95" s="4">
        <f t="shared" si="69"/>
        <v>2</v>
      </c>
      <c r="D95" s="4">
        <f t="shared" si="70"/>
        <v>0.33333333333333331</v>
      </c>
      <c r="E95" s="86">
        <f>NseMeas!H95</f>
        <v>438.4470651377784</v>
      </c>
      <c r="F95" s="4">
        <f t="shared" si="71"/>
        <v>4.0000000000000009</v>
      </c>
      <c r="G95" s="4">
        <f t="shared" si="72"/>
        <v>20</v>
      </c>
      <c r="H95" s="88">
        <f>10*LOG10(P1dbBWghz*1000000000*NseMeas!J95/NseMeas!BW)</f>
        <v>-28.652597449359142</v>
      </c>
      <c r="I95" s="4" t="b">
        <f t="shared" si="73"/>
        <v>0</v>
      </c>
      <c r="J95" s="87">
        <f>MAX(NseMeas!T95,K95/1000)</f>
        <v>825664854.90636683</v>
      </c>
      <c r="K95" s="87">
        <f>NseMeas!S95</f>
        <v>1844875354.154526</v>
      </c>
      <c r="L95" s="87">
        <f>NseMeas!X95</f>
        <v>1019210499.2481589</v>
      </c>
      <c r="M95" s="88">
        <f t="shared" si="58"/>
        <v>43.163202203876551</v>
      </c>
      <c r="N95" s="87">
        <f>4*K95*NseMeas!K95*Jitter1H1s/SQRT($BZ$4)</f>
        <v>2.283887131344474</v>
      </c>
      <c r="O95" s="4">
        <f t="shared" si="59"/>
        <v>0.2</v>
      </c>
      <c r="P95" s="4">
        <f t="shared" si="60"/>
        <v>0.1</v>
      </c>
      <c r="Q95" s="86">
        <f>MAX(0.1,P95/(1+(NseMeas!J95*J95/(NseMeas!L95*L95))))</f>
        <v>0.1</v>
      </c>
      <c r="R95" s="86">
        <f>MAX(0.1,P95/(1+((NseMeas!L95*L95)/(NseMeas!J95*J95))))</f>
        <v>0.1</v>
      </c>
      <c r="S95" s="87">
        <f>MAX(Calibration!Q95,T95/1000)</f>
        <v>6.4485344474614736E-2</v>
      </c>
      <c r="T95" s="87">
        <f>Calibration!P95</f>
        <v>1.0644853444746147</v>
      </c>
      <c r="U95" s="87">
        <f>ABS(Calibration!S95)</f>
        <v>1</v>
      </c>
      <c r="V95" s="88">
        <f>T_0*(10^((O95+DashBoard!$N$6)/10)-1)-N95</f>
        <v>48.436403801119091</v>
      </c>
      <c r="W95" s="87">
        <f>4*T95*NseMeas!T95*Jitter1H1s/SQRT($BZ$4)</f>
        <v>1488536.0455197236</v>
      </c>
      <c r="X95" s="4">
        <f t="shared" si="76"/>
        <v>944441210.55747628</v>
      </c>
      <c r="Y95" s="4">
        <f>MIN(DashBoard!$N$5/2, X95/2)</f>
        <v>5.5</v>
      </c>
      <c r="Z95" s="86">
        <f>MAX(0.1,Y95/(1+(Calibration!H95*S95/(Calibration!J95*U95))))</f>
        <v>2.1052992355230069</v>
      </c>
      <c r="AA95" s="86">
        <f>MAX(0.1,Y95/(1+((Calibration!J95*U95)/(Calibration!H95*S95))))</f>
        <v>3.3947007644769931</v>
      </c>
      <c r="AC95" s="4">
        <f t="shared" si="61"/>
        <v>3.3947007644769931</v>
      </c>
      <c r="AD95" s="4">
        <f t="shared" si="62"/>
        <v>5.5</v>
      </c>
      <c r="AE95" s="4">
        <f t="shared" si="63"/>
        <v>2.1052992355230069</v>
      </c>
      <c r="AF95" s="4">
        <f t="shared" si="64"/>
        <v>0.1</v>
      </c>
      <c r="AG95" s="4">
        <f t="shared" si="65"/>
        <v>0.1</v>
      </c>
      <c r="AH95" s="4">
        <f t="shared" si="66"/>
        <v>0.1</v>
      </c>
      <c r="AI95" s="4">
        <f t="shared" si="74"/>
        <v>0.30000000000000004</v>
      </c>
      <c r="AJ95" s="4">
        <f t="shared" si="75"/>
        <v>24.489999999999988</v>
      </c>
      <c r="AK95" s="4">
        <f t="shared" si="77"/>
        <v>17</v>
      </c>
      <c r="AL95" s="4">
        <f t="shared" si="67"/>
        <v>0</v>
      </c>
      <c r="AM95" s="4">
        <f t="shared" si="78"/>
        <v>0</v>
      </c>
      <c r="AN95" s="4">
        <f t="shared" si="79"/>
        <v>0</v>
      </c>
      <c r="AO95" s="4">
        <f t="shared" si="80"/>
        <v>0</v>
      </c>
      <c r="AP95" s="4">
        <f t="shared" si="81"/>
        <v>0</v>
      </c>
      <c r="AQ95" s="4">
        <f t="shared" si="82"/>
        <v>0</v>
      </c>
      <c r="AR95" s="4">
        <f t="shared" si="83"/>
        <v>0</v>
      </c>
      <c r="AS95" s="4">
        <f t="shared" si="84"/>
        <v>0</v>
      </c>
      <c r="AT95" s="4">
        <f t="shared" si="85"/>
        <v>0</v>
      </c>
      <c r="AU95" s="4">
        <f t="shared" si="86"/>
        <v>0</v>
      </c>
      <c r="AV95" s="4">
        <f t="shared" si="87"/>
        <v>0</v>
      </c>
      <c r="AW95" s="4">
        <f t="shared" si="88"/>
        <v>0</v>
      </c>
      <c r="AX95" s="4">
        <f t="shared" si="89"/>
        <v>0</v>
      </c>
      <c r="AY95" s="4">
        <f t="shared" si="90"/>
        <v>0</v>
      </c>
      <c r="AZ95" s="4">
        <f t="shared" si="91"/>
        <v>0</v>
      </c>
      <c r="BA95" s="4">
        <f t="shared" si="92"/>
        <v>0</v>
      </c>
      <c r="BB95" s="4">
        <f t="shared" si="93"/>
        <v>17</v>
      </c>
      <c r="BC95" s="4">
        <f t="shared" si="94"/>
        <v>0</v>
      </c>
      <c r="BD95" s="4">
        <f t="shared" si="95"/>
        <v>0</v>
      </c>
      <c r="BE95" s="4">
        <f t="shared" si="96"/>
        <v>0</v>
      </c>
      <c r="BF95" s="4">
        <f t="shared" si="97"/>
        <v>0</v>
      </c>
    </row>
    <row r="96" spans="1:58">
      <c r="A96" s="4">
        <f>MIN(StopFreqGHz+0.000001,FieldFox!A95+FreqStep)</f>
        <v>26.500001000000001</v>
      </c>
      <c r="B96" s="4">
        <f t="shared" si="68"/>
        <v>-152</v>
      </c>
      <c r="C96" s="4">
        <f t="shared" si="69"/>
        <v>2</v>
      </c>
      <c r="D96" s="4">
        <f t="shared" si="70"/>
        <v>0.33333333333333331</v>
      </c>
      <c r="E96" s="86">
        <f>NseMeas!H96</f>
        <v>438.4470651377784</v>
      </c>
      <c r="F96" s="4">
        <f t="shared" si="71"/>
        <v>4.0000000000000009</v>
      </c>
      <c r="G96" s="4">
        <f t="shared" si="72"/>
        <v>20</v>
      </c>
      <c r="H96" s="88">
        <f>10*LOG10(P1dbBWghz*1000000000*NseMeas!J96/NseMeas!BW)</f>
        <v>-28.652597449359142</v>
      </c>
      <c r="I96" s="4" t="b">
        <f t="shared" si="73"/>
        <v>0</v>
      </c>
      <c r="J96" s="87">
        <f>MAX(NseMeas!T96,K96/1000)</f>
        <v>825664854.90636683</v>
      </c>
      <c r="K96" s="87">
        <f>NseMeas!S96</f>
        <v>1844875354.154526</v>
      </c>
      <c r="L96" s="87">
        <f>NseMeas!X96</f>
        <v>1019210499.2481589</v>
      </c>
      <c r="M96" s="88">
        <f t="shared" si="58"/>
        <v>43.163202203876551</v>
      </c>
      <c r="N96" s="87">
        <f>4*K96*NseMeas!K96*Jitter1H1s/SQRT($BZ$4)</f>
        <v>2.283887131344474</v>
      </c>
      <c r="O96" s="4">
        <f t="shared" si="59"/>
        <v>0.2</v>
      </c>
      <c r="P96" s="4">
        <f t="shared" si="60"/>
        <v>0.1</v>
      </c>
      <c r="Q96" s="86">
        <f>MAX(0.1,P96/(1+(NseMeas!J96*J96/(NseMeas!L96*L96))))</f>
        <v>0.1</v>
      </c>
      <c r="R96" s="86">
        <f>MAX(0.1,P96/(1+((NseMeas!L96*L96)/(NseMeas!J96*J96))))</f>
        <v>0.1</v>
      </c>
      <c r="S96" s="87">
        <f>MAX(Calibration!Q96,T96/1000)</f>
        <v>6.4485344474614736E-2</v>
      </c>
      <c r="T96" s="87">
        <f>Calibration!P96</f>
        <v>1.0644853444746147</v>
      </c>
      <c r="U96" s="87">
        <f>ABS(Calibration!S96)</f>
        <v>1</v>
      </c>
      <c r="V96" s="88">
        <f>T_0*(10^((O96+DashBoard!$N$6)/10)-1)-N96</f>
        <v>48.436403801119091</v>
      </c>
      <c r="W96" s="87">
        <f>4*T96*NseMeas!T96*Jitter1H1s/SQRT($BZ$4)</f>
        <v>1488536.0455197236</v>
      </c>
      <c r="X96" s="4">
        <f t="shared" si="76"/>
        <v>944441210.55747628</v>
      </c>
      <c r="Y96" s="4">
        <f>MIN(DashBoard!$N$5/2, X96/2)</f>
        <v>5.5</v>
      </c>
      <c r="Z96" s="86">
        <f>MAX(0.1,Y96/(1+(Calibration!H96*S96/(Calibration!J96*U96))))</f>
        <v>2.1052992355230069</v>
      </c>
      <c r="AA96" s="86">
        <f>MAX(0.1,Y96/(1+((Calibration!J96*U96)/(Calibration!H96*S96))))</f>
        <v>3.3947007644769931</v>
      </c>
      <c r="AC96" s="4">
        <f t="shared" si="61"/>
        <v>3.3947007644769931</v>
      </c>
      <c r="AD96" s="4">
        <f t="shared" si="62"/>
        <v>5.5</v>
      </c>
      <c r="AE96" s="4">
        <f t="shared" si="63"/>
        <v>2.1052992355230069</v>
      </c>
      <c r="AF96" s="4">
        <f t="shared" si="64"/>
        <v>0.1</v>
      </c>
      <c r="AG96" s="4">
        <f t="shared" si="65"/>
        <v>0.1</v>
      </c>
      <c r="AH96" s="4">
        <f t="shared" si="66"/>
        <v>0.1</v>
      </c>
      <c r="AI96" s="4">
        <f t="shared" si="74"/>
        <v>0.30000000000000004</v>
      </c>
      <c r="AJ96" s="4">
        <f t="shared" si="75"/>
        <v>24.489999999999988</v>
      </c>
      <c r="AK96" s="4">
        <f t="shared" si="77"/>
        <v>17</v>
      </c>
      <c r="AL96" s="4">
        <f t="shared" si="67"/>
        <v>0</v>
      </c>
      <c r="AM96" s="4">
        <f t="shared" si="78"/>
        <v>0</v>
      </c>
      <c r="AN96" s="4">
        <f t="shared" si="79"/>
        <v>0</v>
      </c>
      <c r="AO96" s="4">
        <f t="shared" si="80"/>
        <v>0</v>
      </c>
      <c r="AP96" s="4">
        <f t="shared" si="81"/>
        <v>0</v>
      </c>
      <c r="AQ96" s="4">
        <f t="shared" si="82"/>
        <v>0</v>
      </c>
      <c r="AR96" s="4">
        <f t="shared" si="83"/>
        <v>0</v>
      </c>
      <c r="AS96" s="4">
        <f t="shared" si="84"/>
        <v>0</v>
      </c>
      <c r="AT96" s="4">
        <f t="shared" si="85"/>
        <v>0</v>
      </c>
      <c r="AU96" s="4">
        <f t="shared" si="86"/>
        <v>0</v>
      </c>
      <c r="AV96" s="4">
        <f t="shared" si="87"/>
        <v>0</v>
      </c>
      <c r="AW96" s="4">
        <f t="shared" si="88"/>
        <v>0</v>
      </c>
      <c r="AX96" s="4">
        <f t="shared" si="89"/>
        <v>0</v>
      </c>
      <c r="AY96" s="4">
        <f t="shared" si="90"/>
        <v>0</v>
      </c>
      <c r="AZ96" s="4">
        <f t="shared" si="91"/>
        <v>0</v>
      </c>
      <c r="BA96" s="4">
        <f t="shared" si="92"/>
        <v>0</v>
      </c>
      <c r="BB96" s="4">
        <f t="shared" si="93"/>
        <v>17</v>
      </c>
      <c r="BC96" s="4">
        <f t="shared" si="94"/>
        <v>0</v>
      </c>
      <c r="BD96" s="4">
        <f t="shared" si="95"/>
        <v>0</v>
      </c>
      <c r="BE96" s="4">
        <f t="shared" si="96"/>
        <v>0</v>
      </c>
      <c r="BF96" s="4">
        <f t="shared" si="97"/>
        <v>0</v>
      </c>
    </row>
    <row r="97" spans="1:58">
      <c r="A97" s="4">
        <f>MIN(StopFreqGHz+0.000001,FieldFox!A96+FreqStep)</f>
        <v>26.500001000000001</v>
      </c>
      <c r="B97" s="4">
        <f t="shared" si="68"/>
        <v>-152</v>
      </c>
      <c r="C97" s="4">
        <f t="shared" si="69"/>
        <v>2</v>
      </c>
      <c r="D97" s="4">
        <f t="shared" si="70"/>
        <v>0.33333333333333331</v>
      </c>
      <c r="E97" s="86">
        <f>NseMeas!H97</f>
        <v>438.4470651377784</v>
      </c>
      <c r="F97" s="4">
        <f t="shared" si="71"/>
        <v>4.0000000000000009</v>
      </c>
      <c r="G97" s="4">
        <f t="shared" si="72"/>
        <v>20</v>
      </c>
      <c r="H97" s="88">
        <f>10*LOG10(P1dbBWghz*1000000000*NseMeas!J97/NseMeas!BW)</f>
        <v>-28.652597449359142</v>
      </c>
      <c r="I97" s="4" t="b">
        <f t="shared" si="73"/>
        <v>0</v>
      </c>
      <c r="J97" s="87">
        <f>MAX(NseMeas!T97,K97/1000)</f>
        <v>825664854.90636683</v>
      </c>
      <c r="K97" s="87">
        <f>NseMeas!S97</f>
        <v>1844875354.154526</v>
      </c>
      <c r="L97" s="87">
        <f>NseMeas!X97</f>
        <v>1019210499.2481589</v>
      </c>
      <c r="M97" s="88">
        <f t="shared" si="58"/>
        <v>43.163202203876551</v>
      </c>
      <c r="N97" s="87">
        <f>4*K97*NseMeas!K97*Jitter1H1s/SQRT($BZ$4)</f>
        <v>2.283887131344474</v>
      </c>
      <c r="O97" s="4">
        <f t="shared" si="59"/>
        <v>0.2</v>
      </c>
      <c r="P97" s="4">
        <f t="shared" si="60"/>
        <v>0.1</v>
      </c>
      <c r="Q97" s="86">
        <f>MAX(0.1,P97/(1+(NseMeas!J97*J97/(NseMeas!L97*L97))))</f>
        <v>0.1</v>
      </c>
      <c r="R97" s="86">
        <f>MAX(0.1,P97/(1+((NseMeas!L97*L97)/(NseMeas!J97*J97))))</f>
        <v>0.1</v>
      </c>
      <c r="S97" s="87">
        <f>MAX(Calibration!Q97,T97/1000)</f>
        <v>6.4485344474614736E-2</v>
      </c>
      <c r="T97" s="87">
        <f>Calibration!P97</f>
        <v>1.0644853444746147</v>
      </c>
      <c r="U97" s="87">
        <f>ABS(Calibration!S97)</f>
        <v>1</v>
      </c>
      <c r="V97" s="88">
        <f>T_0*(10^((O97+DashBoard!$N$6)/10)-1)-N97</f>
        <v>48.436403801119091</v>
      </c>
      <c r="W97" s="87">
        <f>4*T97*NseMeas!T97*Jitter1H1s/SQRT($BZ$4)</f>
        <v>1488536.0455197236</v>
      </c>
      <c r="X97" s="4">
        <f t="shared" si="76"/>
        <v>944441210.55747628</v>
      </c>
      <c r="Y97" s="4">
        <f>MIN(DashBoard!$N$5/2, X97/2)</f>
        <v>5.5</v>
      </c>
      <c r="Z97" s="86">
        <f>MAX(0.1,Y97/(1+(Calibration!H97*S97/(Calibration!J97*U97))))</f>
        <v>2.1052992355230069</v>
      </c>
      <c r="AA97" s="86">
        <f>MAX(0.1,Y97/(1+((Calibration!J97*U97)/(Calibration!H97*S97))))</f>
        <v>3.3947007644769931</v>
      </c>
      <c r="AC97" s="4">
        <f t="shared" si="61"/>
        <v>3.3947007644769931</v>
      </c>
      <c r="AD97" s="4">
        <f t="shared" si="62"/>
        <v>5.5</v>
      </c>
      <c r="AE97" s="4">
        <f t="shared" si="63"/>
        <v>2.1052992355230069</v>
      </c>
      <c r="AF97" s="4">
        <f t="shared" si="64"/>
        <v>0.1</v>
      </c>
      <c r="AG97" s="4">
        <f t="shared" si="65"/>
        <v>0.1</v>
      </c>
      <c r="AH97" s="4">
        <f t="shared" si="66"/>
        <v>0.1</v>
      </c>
      <c r="AI97" s="4">
        <f t="shared" si="74"/>
        <v>0.30000000000000004</v>
      </c>
      <c r="AJ97" s="4">
        <f t="shared" si="75"/>
        <v>24.489999999999988</v>
      </c>
      <c r="AK97" s="4">
        <f t="shared" si="77"/>
        <v>17</v>
      </c>
      <c r="AL97" s="4">
        <f t="shared" si="67"/>
        <v>0</v>
      </c>
      <c r="AM97" s="4">
        <f t="shared" si="78"/>
        <v>0</v>
      </c>
      <c r="AN97" s="4">
        <f t="shared" si="79"/>
        <v>0</v>
      </c>
      <c r="AO97" s="4">
        <f t="shared" si="80"/>
        <v>0</v>
      </c>
      <c r="AP97" s="4">
        <f t="shared" si="81"/>
        <v>0</v>
      </c>
      <c r="AQ97" s="4">
        <f t="shared" si="82"/>
        <v>0</v>
      </c>
      <c r="AR97" s="4">
        <f t="shared" si="83"/>
        <v>0</v>
      </c>
      <c r="AS97" s="4">
        <f t="shared" si="84"/>
        <v>0</v>
      </c>
      <c r="AT97" s="4">
        <f t="shared" si="85"/>
        <v>0</v>
      </c>
      <c r="AU97" s="4">
        <f t="shared" si="86"/>
        <v>0</v>
      </c>
      <c r="AV97" s="4">
        <f t="shared" si="87"/>
        <v>0</v>
      </c>
      <c r="AW97" s="4">
        <f t="shared" si="88"/>
        <v>0</v>
      </c>
      <c r="AX97" s="4">
        <f t="shared" si="89"/>
        <v>0</v>
      </c>
      <c r="AY97" s="4">
        <f t="shared" si="90"/>
        <v>0</v>
      </c>
      <c r="AZ97" s="4">
        <f t="shared" si="91"/>
        <v>0</v>
      </c>
      <c r="BA97" s="4">
        <f t="shared" si="92"/>
        <v>0</v>
      </c>
      <c r="BB97" s="4">
        <f t="shared" si="93"/>
        <v>17</v>
      </c>
      <c r="BC97" s="4">
        <f t="shared" si="94"/>
        <v>0</v>
      </c>
      <c r="BD97" s="4">
        <f t="shared" si="95"/>
        <v>0</v>
      </c>
      <c r="BE97" s="4">
        <f t="shared" si="96"/>
        <v>0</v>
      </c>
      <c r="BF97" s="4">
        <f t="shared" si="97"/>
        <v>0</v>
      </c>
    </row>
    <row r="98" spans="1:58">
      <c r="A98" s="4">
        <f>MIN(StopFreqGHz+0.000001,FieldFox!A97+FreqStep)</f>
        <v>26.500001000000001</v>
      </c>
      <c r="B98" s="4">
        <f t="shared" si="68"/>
        <v>-152</v>
      </c>
      <c r="C98" s="4">
        <f t="shared" si="69"/>
        <v>2</v>
      </c>
      <c r="D98" s="4">
        <f t="shared" si="70"/>
        <v>0.33333333333333331</v>
      </c>
      <c r="E98" s="86">
        <f>NseMeas!H98</f>
        <v>438.4470651377784</v>
      </c>
      <c r="F98" s="4">
        <f t="shared" si="71"/>
        <v>4.0000000000000009</v>
      </c>
      <c r="G98" s="4">
        <f t="shared" si="72"/>
        <v>20</v>
      </c>
      <c r="H98" s="88">
        <f>10*LOG10(P1dbBWghz*1000000000*NseMeas!J98/NseMeas!BW)</f>
        <v>-28.652597449359142</v>
      </c>
      <c r="I98" s="4" t="b">
        <f t="shared" si="73"/>
        <v>0</v>
      </c>
      <c r="J98" s="87">
        <f>MAX(NseMeas!T98,K98/1000)</f>
        <v>825664854.90636683</v>
      </c>
      <c r="K98" s="87">
        <f>NseMeas!S98</f>
        <v>1844875354.154526</v>
      </c>
      <c r="L98" s="87">
        <f>NseMeas!X98</f>
        <v>1019210499.2481589</v>
      </c>
      <c r="M98" s="88">
        <f t="shared" si="58"/>
        <v>43.163202203876551</v>
      </c>
      <c r="N98" s="87">
        <f>4*K98*NseMeas!K98*Jitter1H1s/SQRT($BZ$4)</f>
        <v>2.283887131344474</v>
      </c>
      <c r="O98" s="4">
        <f t="shared" si="59"/>
        <v>0.2</v>
      </c>
      <c r="P98" s="4">
        <f t="shared" si="60"/>
        <v>0.1</v>
      </c>
      <c r="Q98" s="86">
        <f>MAX(0.1,P98/(1+(NseMeas!J98*J98/(NseMeas!L98*L98))))</f>
        <v>0.1</v>
      </c>
      <c r="R98" s="86">
        <f>MAX(0.1,P98/(1+((NseMeas!L98*L98)/(NseMeas!J98*J98))))</f>
        <v>0.1</v>
      </c>
      <c r="S98" s="87">
        <f>MAX(Calibration!Q98,T98/1000)</f>
        <v>6.4485344474614736E-2</v>
      </c>
      <c r="T98" s="87">
        <f>Calibration!P98</f>
        <v>1.0644853444746147</v>
      </c>
      <c r="U98" s="87">
        <f>ABS(Calibration!S98)</f>
        <v>1</v>
      </c>
      <c r="V98" s="88">
        <f>T_0*(10^((O98+DashBoard!$N$6)/10)-1)-N98</f>
        <v>48.436403801119091</v>
      </c>
      <c r="W98" s="87">
        <f>4*T98*NseMeas!T98*Jitter1H1s/SQRT($BZ$4)</f>
        <v>1488536.0455197236</v>
      </c>
      <c r="X98" s="4">
        <f t="shared" si="76"/>
        <v>944441210.55747628</v>
      </c>
      <c r="Y98" s="4">
        <f>MIN(DashBoard!$N$5/2, X98/2)</f>
        <v>5.5</v>
      </c>
      <c r="Z98" s="86">
        <f>MAX(0.1,Y98/(1+(Calibration!H98*S98/(Calibration!J98*U98))))</f>
        <v>2.1052992355230069</v>
      </c>
      <c r="AA98" s="86">
        <f>MAX(0.1,Y98/(1+((Calibration!J98*U98)/(Calibration!H98*S98))))</f>
        <v>3.3947007644769931</v>
      </c>
      <c r="AC98" s="4">
        <f t="shared" si="61"/>
        <v>3.3947007644769931</v>
      </c>
      <c r="AD98" s="4">
        <f t="shared" si="62"/>
        <v>5.5</v>
      </c>
      <c r="AE98" s="4">
        <f t="shared" si="63"/>
        <v>2.1052992355230069</v>
      </c>
      <c r="AF98" s="4">
        <f t="shared" si="64"/>
        <v>0.1</v>
      </c>
      <c r="AG98" s="4">
        <f t="shared" si="65"/>
        <v>0.1</v>
      </c>
      <c r="AH98" s="4">
        <f t="shared" si="66"/>
        <v>0.1</v>
      </c>
      <c r="AI98" s="4">
        <f t="shared" si="74"/>
        <v>0.30000000000000004</v>
      </c>
      <c r="AJ98" s="4">
        <f t="shared" si="75"/>
        <v>24.489999999999988</v>
      </c>
      <c r="AK98" s="4">
        <f t="shared" si="77"/>
        <v>17</v>
      </c>
      <c r="AL98" s="4">
        <f t="shared" si="67"/>
        <v>0</v>
      </c>
      <c r="AM98" s="4">
        <f t="shared" si="78"/>
        <v>0</v>
      </c>
      <c r="AN98" s="4">
        <f t="shared" si="79"/>
        <v>0</v>
      </c>
      <c r="AO98" s="4">
        <f t="shared" si="80"/>
        <v>0</v>
      </c>
      <c r="AP98" s="4">
        <f t="shared" si="81"/>
        <v>0</v>
      </c>
      <c r="AQ98" s="4">
        <f t="shared" si="82"/>
        <v>0</v>
      </c>
      <c r="AR98" s="4">
        <f t="shared" si="83"/>
        <v>0</v>
      </c>
      <c r="AS98" s="4">
        <f t="shared" si="84"/>
        <v>0</v>
      </c>
      <c r="AT98" s="4">
        <f t="shared" si="85"/>
        <v>0</v>
      </c>
      <c r="AU98" s="4">
        <f t="shared" si="86"/>
        <v>0</v>
      </c>
      <c r="AV98" s="4">
        <f t="shared" si="87"/>
        <v>0</v>
      </c>
      <c r="AW98" s="4">
        <f t="shared" si="88"/>
        <v>0</v>
      </c>
      <c r="AX98" s="4">
        <f t="shared" si="89"/>
        <v>0</v>
      </c>
      <c r="AY98" s="4">
        <f t="shared" si="90"/>
        <v>0</v>
      </c>
      <c r="AZ98" s="4">
        <f t="shared" si="91"/>
        <v>0</v>
      </c>
      <c r="BA98" s="4">
        <f t="shared" si="92"/>
        <v>0</v>
      </c>
      <c r="BB98" s="4">
        <f t="shared" si="93"/>
        <v>17</v>
      </c>
      <c r="BC98" s="4">
        <f t="shared" si="94"/>
        <v>0</v>
      </c>
      <c r="BD98" s="4">
        <f t="shared" si="95"/>
        <v>0</v>
      </c>
      <c r="BE98" s="4">
        <f t="shared" si="96"/>
        <v>0</v>
      </c>
      <c r="BF98" s="4">
        <f t="shared" si="97"/>
        <v>0</v>
      </c>
    </row>
    <row r="99" spans="1:58">
      <c r="A99" s="4">
        <f>MIN(StopFreqGHz+0.000001,FieldFox!A98+FreqStep)</f>
        <v>26.500001000000001</v>
      </c>
      <c r="B99" s="4">
        <f t="shared" si="68"/>
        <v>-152</v>
      </c>
      <c r="C99" s="4">
        <f t="shared" si="69"/>
        <v>2</v>
      </c>
      <c r="D99" s="4">
        <f t="shared" si="70"/>
        <v>0.33333333333333331</v>
      </c>
      <c r="E99" s="86">
        <f>NseMeas!H99</f>
        <v>438.4470651377784</v>
      </c>
      <c r="F99" s="4">
        <f t="shared" si="71"/>
        <v>4.0000000000000009</v>
      </c>
      <c r="G99" s="4">
        <f t="shared" si="72"/>
        <v>20</v>
      </c>
      <c r="H99" s="88">
        <f>10*LOG10(P1dbBWghz*1000000000*NseMeas!J99/NseMeas!BW)</f>
        <v>-28.652597449359142</v>
      </c>
      <c r="I99" s="4" t="b">
        <f t="shared" si="73"/>
        <v>0</v>
      </c>
      <c r="J99" s="87">
        <f>MAX(NseMeas!T99,K99/1000)</f>
        <v>825664854.90636683</v>
      </c>
      <c r="K99" s="87">
        <f>NseMeas!S99</f>
        <v>1844875354.154526</v>
      </c>
      <c r="L99" s="87">
        <f>NseMeas!X99</f>
        <v>1019210499.2481589</v>
      </c>
      <c r="M99" s="88">
        <f t="shared" si="58"/>
        <v>43.163202203876551</v>
      </c>
      <c r="N99" s="87">
        <f>4*K99*NseMeas!K99*Jitter1H1s/SQRT($BZ$4)</f>
        <v>2.283887131344474</v>
      </c>
      <c r="O99" s="4">
        <f t="shared" si="59"/>
        <v>0.2</v>
      </c>
      <c r="P99" s="4">
        <f t="shared" si="60"/>
        <v>0.1</v>
      </c>
      <c r="Q99" s="86">
        <f>MAX(0.1,P99/(1+(NseMeas!J99*J99/(NseMeas!L99*L99))))</f>
        <v>0.1</v>
      </c>
      <c r="R99" s="86">
        <f>MAX(0.1,P99/(1+((NseMeas!L99*L99)/(NseMeas!J99*J99))))</f>
        <v>0.1</v>
      </c>
      <c r="S99" s="87">
        <f>MAX(Calibration!Q99,T99/1000)</f>
        <v>6.4485344474614736E-2</v>
      </c>
      <c r="T99" s="87">
        <f>Calibration!P99</f>
        <v>1.0644853444746147</v>
      </c>
      <c r="U99" s="87">
        <f>ABS(Calibration!S99)</f>
        <v>1</v>
      </c>
      <c r="V99" s="88">
        <f>T_0*(10^((O99+DashBoard!$N$6)/10)-1)-N99</f>
        <v>48.436403801119091</v>
      </c>
      <c r="W99" s="87">
        <f>4*T99*NseMeas!T99*Jitter1H1s/SQRT($BZ$4)</f>
        <v>1488536.0455197236</v>
      </c>
      <c r="X99" s="4">
        <f t="shared" si="76"/>
        <v>944441210.55747628</v>
      </c>
      <c r="Y99" s="4">
        <f>MIN(DashBoard!$N$5/2, X99/2)</f>
        <v>5.5</v>
      </c>
      <c r="Z99" s="86">
        <f>MAX(0.1,Y99/(1+(Calibration!H99*S99/(Calibration!J99*U99))))</f>
        <v>2.1052992355230069</v>
      </c>
      <c r="AA99" s="86">
        <f>MAX(0.1,Y99/(1+((Calibration!J99*U99)/(Calibration!H99*S99))))</f>
        <v>3.3947007644769931</v>
      </c>
      <c r="AC99" s="4">
        <f t="shared" si="61"/>
        <v>3.3947007644769931</v>
      </c>
      <c r="AD99" s="4">
        <f t="shared" si="62"/>
        <v>5.5</v>
      </c>
      <c r="AE99" s="4">
        <f t="shared" si="63"/>
        <v>2.1052992355230069</v>
      </c>
      <c r="AF99" s="4">
        <f t="shared" si="64"/>
        <v>0.1</v>
      </c>
      <c r="AG99" s="4">
        <f t="shared" si="65"/>
        <v>0.1</v>
      </c>
      <c r="AH99" s="4">
        <f t="shared" si="66"/>
        <v>0.1</v>
      </c>
      <c r="AI99" s="4">
        <f t="shared" si="74"/>
        <v>0.30000000000000004</v>
      </c>
      <c r="AJ99" s="4">
        <f t="shared" si="75"/>
        <v>24.489999999999988</v>
      </c>
      <c r="AK99" s="4">
        <f t="shared" si="77"/>
        <v>17</v>
      </c>
      <c r="AL99" s="4">
        <f t="shared" si="67"/>
        <v>0</v>
      </c>
      <c r="AM99" s="4">
        <f t="shared" si="78"/>
        <v>0</v>
      </c>
      <c r="AN99" s="4">
        <f t="shared" si="79"/>
        <v>0</v>
      </c>
      <c r="AO99" s="4">
        <f t="shared" si="80"/>
        <v>0</v>
      </c>
      <c r="AP99" s="4">
        <f t="shared" si="81"/>
        <v>0</v>
      </c>
      <c r="AQ99" s="4">
        <f t="shared" si="82"/>
        <v>0</v>
      </c>
      <c r="AR99" s="4">
        <f t="shared" si="83"/>
        <v>0</v>
      </c>
      <c r="AS99" s="4">
        <f t="shared" si="84"/>
        <v>0</v>
      </c>
      <c r="AT99" s="4">
        <f t="shared" si="85"/>
        <v>0</v>
      </c>
      <c r="AU99" s="4">
        <f t="shared" si="86"/>
        <v>0</v>
      </c>
      <c r="AV99" s="4">
        <f t="shared" si="87"/>
        <v>0</v>
      </c>
      <c r="AW99" s="4">
        <f t="shared" si="88"/>
        <v>0</v>
      </c>
      <c r="AX99" s="4">
        <f t="shared" si="89"/>
        <v>0</v>
      </c>
      <c r="AY99" s="4">
        <f t="shared" si="90"/>
        <v>0</v>
      </c>
      <c r="AZ99" s="4">
        <f t="shared" si="91"/>
        <v>0</v>
      </c>
      <c r="BA99" s="4">
        <f t="shared" si="92"/>
        <v>0</v>
      </c>
      <c r="BB99" s="4">
        <f t="shared" si="93"/>
        <v>17</v>
      </c>
      <c r="BC99" s="4">
        <f t="shared" si="94"/>
        <v>0</v>
      </c>
      <c r="BD99" s="4">
        <f t="shared" si="95"/>
        <v>0</v>
      </c>
      <c r="BE99" s="4">
        <f t="shared" si="96"/>
        <v>0</v>
      </c>
      <c r="BF99" s="4">
        <f t="shared" si="97"/>
        <v>0</v>
      </c>
    </row>
    <row r="100" spans="1:58">
      <c r="A100" s="4">
        <f>MIN(StopFreqGHz+0.000001,FieldFox!A99+FreqStep)</f>
        <v>26.500001000000001</v>
      </c>
      <c r="B100" s="4">
        <f t="shared" si="68"/>
        <v>-152</v>
      </c>
      <c r="C100" s="4">
        <f t="shared" si="69"/>
        <v>2</v>
      </c>
      <c r="D100" s="4">
        <f t="shared" si="70"/>
        <v>0.33333333333333331</v>
      </c>
      <c r="E100" s="86">
        <f>NseMeas!H100</f>
        <v>438.4470651377784</v>
      </c>
      <c r="F100" s="4">
        <f t="shared" si="71"/>
        <v>4.0000000000000009</v>
      </c>
      <c r="G100" s="4">
        <f t="shared" si="72"/>
        <v>20</v>
      </c>
      <c r="H100" s="88">
        <f>10*LOG10(P1dbBWghz*1000000000*NseMeas!J100/NseMeas!BW)</f>
        <v>-28.652597449359142</v>
      </c>
      <c r="I100" s="4" t="b">
        <f t="shared" si="73"/>
        <v>0</v>
      </c>
      <c r="J100" s="87">
        <f>MAX(NseMeas!T100,K100/1000)</f>
        <v>825664854.90636683</v>
      </c>
      <c r="K100" s="87">
        <f>NseMeas!S100</f>
        <v>1844875354.154526</v>
      </c>
      <c r="L100" s="87">
        <f>NseMeas!X100</f>
        <v>1019210499.2481589</v>
      </c>
      <c r="M100" s="88">
        <f t="shared" si="58"/>
        <v>43.163202203876551</v>
      </c>
      <c r="N100" s="87">
        <f>4*K100*NseMeas!K100*Jitter1H1s/SQRT($BZ$4)</f>
        <v>2.283887131344474</v>
      </c>
      <c r="O100" s="4">
        <f t="shared" si="59"/>
        <v>0.2</v>
      </c>
      <c r="P100" s="4">
        <f t="shared" si="60"/>
        <v>0.1</v>
      </c>
      <c r="Q100" s="86">
        <f>MAX(0.1,P100/(1+(NseMeas!J100*J100/(NseMeas!L100*L100))))</f>
        <v>0.1</v>
      </c>
      <c r="R100" s="86">
        <f>MAX(0.1,P100/(1+((NseMeas!L100*L100)/(NseMeas!J100*J100))))</f>
        <v>0.1</v>
      </c>
      <c r="S100" s="87">
        <f>MAX(Calibration!Q100,T100/1000)</f>
        <v>6.4485344474614736E-2</v>
      </c>
      <c r="T100" s="87">
        <f>Calibration!P100</f>
        <v>1.0644853444746147</v>
      </c>
      <c r="U100" s="87">
        <f>ABS(Calibration!S100)</f>
        <v>1</v>
      </c>
      <c r="V100" s="88">
        <f>T_0*(10^((O100+DashBoard!$N$6)/10)-1)-N100</f>
        <v>48.436403801119091</v>
      </c>
      <c r="W100" s="87">
        <f>4*T100*NseMeas!T100*Jitter1H1s/SQRT($BZ$4)</f>
        <v>1488536.0455197236</v>
      </c>
      <c r="X100" s="4">
        <f t="shared" si="76"/>
        <v>944441210.55747628</v>
      </c>
      <c r="Y100" s="4">
        <f>MIN(DashBoard!$N$5/2, X100/2)</f>
        <v>5.5</v>
      </c>
      <c r="Z100" s="86">
        <f>MAX(0.1,Y100/(1+(Calibration!H100*S100/(Calibration!J100*U100))))</f>
        <v>2.1052992355230069</v>
      </c>
      <c r="AA100" s="86">
        <f>MAX(0.1,Y100/(1+((Calibration!J100*U100)/(Calibration!H100*S100))))</f>
        <v>3.3947007644769931</v>
      </c>
      <c r="AC100" s="4">
        <f t="shared" si="61"/>
        <v>3.3947007644769931</v>
      </c>
      <c r="AD100" s="4">
        <f t="shared" si="62"/>
        <v>5.5</v>
      </c>
      <c r="AE100" s="4">
        <f t="shared" si="63"/>
        <v>2.1052992355230069</v>
      </c>
      <c r="AF100" s="4">
        <f t="shared" si="64"/>
        <v>0.1</v>
      </c>
      <c r="AG100" s="4">
        <f t="shared" si="65"/>
        <v>0.1</v>
      </c>
      <c r="AH100" s="4">
        <f t="shared" si="66"/>
        <v>0.1</v>
      </c>
      <c r="AI100" s="4">
        <f t="shared" si="74"/>
        <v>0.30000000000000004</v>
      </c>
      <c r="AJ100" s="4">
        <f t="shared" si="75"/>
        <v>24.489999999999988</v>
      </c>
      <c r="AK100" s="4">
        <f t="shared" si="77"/>
        <v>17</v>
      </c>
      <c r="AL100" s="4">
        <f t="shared" si="67"/>
        <v>0</v>
      </c>
      <c r="AM100" s="4">
        <f t="shared" si="78"/>
        <v>0</v>
      </c>
      <c r="AN100" s="4">
        <f t="shared" si="79"/>
        <v>0</v>
      </c>
      <c r="AO100" s="4">
        <f t="shared" si="80"/>
        <v>0</v>
      </c>
      <c r="AP100" s="4">
        <f t="shared" si="81"/>
        <v>0</v>
      </c>
      <c r="AQ100" s="4">
        <f t="shared" si="82"/>
        <v>0</v>
      </c>
      <c r="AR100" s="4">
        <f t="shared" si="83"/>
        <v>0</v>
      </c>
      <c r="AS100" s="4">
        <f t="shared" si="84"/>
        <v>0</v>
      </c>
      <c r="AT100" s="4">
        <f t="shared" si="85"/>
        <v>0</v>
      </c>
      <c r="AU100" s="4">
        <f t="shared" si="86"/>
        <v>0</v>
      </c>
      <c r="AV100" s="4">
        <f t="shared" si="87"/>
        <v>0</v>
      </c>
      <c r="AW100" s="4">
        <f t="shared" si="88"/>
        <v>0</v>
      </c>
      <c r="AX100" s="4">
        <f t="shared" si="89"/>
        <v>0</v>
      </c>
      <c r="AY100" s="4">
        <f t="shared" si="90"/>
        <v>0</v>
      </c>
      <c r="AZ100" s="4">
        <f t="shared" si="91"/>
        <v>0</v>
      </c>
      <c r="BA100" s="4">
        <f t="shared" si="92"/>
        <v>0</v>
      </c>
      <c r="BB100" s="4">
        <f t="shared" si="93"/>
        <v>17</v>
      </c>
      <c r="BC100" s="4">
        <f t="shared" si="94"/>
        <v>0</v>
      </c>
      <c r="BD100" s="4">
        <f t="shared" si="95"/>
        <v>0</v>
      </c>
      <c r="BE100" s="4">
        <f t="shared" si="96"/>
        <v>0</v>
      </c>
      <c r="BF100" s="4">
        <f t="shared" si="97"/>
        <v>0</v>
      </c>
    </row>
    <row r="101" spans="1:58">
      <c r="A101" s="4">
        <f>MIN(StopFreqGHz+0.000001,FieldFox!A100+FreqStep)</f>
        <v>26.500001000000001</v>
      </c>
      <c r="B101" s="4">
        <f t="shared" si="68"/>
        <v>-152</v>
      </c>
      <c r="C101" s="4">
        <f t="shared" si="69"/>
        <v>2</v>
      </c>
      <c r="D101" s="4">
        <f t="shared" si="70"/>
        <v>0.33333333333333331</v>
      </c>
      <c r="E101" s="86">
        <f>NseMeas!H101</f>
        <v>438.4470651377784</v>
      </c>
      <c r="F101" s="4">
        <f t="shared" si="71"/>
        <v>4.0000000000000009</v>
      </c>
      <c r="G101" s="4">
        <f t="shared" si="72"/>
        <v>20</v>
      </c>
      <c r="H101" s="88">
        <f>10*LOG10(P1dbBWghz*1000000000*NseMeas!J101/NseMeas!BW)</f>
        <v>-28.652597449359142</v>
      </c>
      <c r="I101" s="4" t="b">
        <f t="shared" si="73"/>
        <v>0</v>
      </c>
      <c r="J101" s="87">
        <f>MAX(NseMeas!T101,K101/1000)</f>
        <v>825664854.90636683</v>
      </c>
      <c r="K101" s="87">
        <f>NseMeas!S101</f>
        <v>1844875354.154526</v>
      </c>
      <c r="L101" s="87">
        <f>NseMeas!X101</f>
        <v>1019210499.2481589</v>
      </c>
      <c r="M101" s="88">
        <f t="shared" ref="M101:M106" si="98">T_0*(10^((F101+MeasJitterGoal)/10)-1)-E101</f>
        <v>43.163202203876551</v>
      </c>
      <c r="N101" s="87">
        <f>4*K101*NseMeas!K101*Jitter1H1s/SQRT($BZ$4)</f>
        <v>2.283887131344474</v>
      </c>
      <c r="O101" s="4">
        <f t="shared" ref="O101:O106" si="99">MIN(MeasMaxTime,MAX((N101/M101)^2,0.2))</f>
        <v>0.2</v>
      </c>
      <c r="P101" s="4">
        <f t="shared" ref="P101:P106" si="100">MIN(MeasMaxTime/2, O101/2)</f>
        <v>0.1</v>
      </c>
      <c r="Q101" s="86">
        <f>MAX(0.1,P101/(1+(NseMeas!J101*J101/(NseMeas!L101*L101))))</f>
        <v>0.1</v>
      </c>
      <c r="R101" s="86">
        <f>MAX(0.1,P101/(1+((NseMeas!L101*L101)/(NseMeas!J101*J101))))</f>
        <v>0.1</v>
      </c>
      <c r="S101" s="87">
        <f>MAX(Calibration!Q101,T101/1000)</f>
        <v>6.4485344474614736E-2</v>
      </c>
      <c r="T101" s="87">
        <f>Calibration!P101</f>
        <v>1.0644853444746147</v>
      </c>
      <c r="U101" s="87">
        <f>ABS(Calibration!S101)</f>
        <v>1</v>
      </c>
      <c r="V101" s="88">
        <f>T_0*(10^((O101+DashBoard!$N$6)/10)-1)-N101</f>
        <v>48.436403801119091</v>
      </c>
      <c r="W101" s="87">
        <f>4*T101*NseMeas!T101*Jitter1H1s/SQRT($BZ$4)</f>
        <v>1488536.0455197236</v>
      </c>
      <c r="X101" s="4">
        <f t="shared" si="76"/>
        <v>944441210.55747628</v>
      </c>
      <c r="Y101" s="4">
        <f>MIN(DashBoard!$N$5/2, X101/2)</f>
        <v>5.5</v>
      </c>
      <c r="Z101" s="86">
        <f>MAX(0.1,Y101/(1+(Calibration!H101*S101/(Calibration!J101*U101))))</f>
        <v>2.1052992355230069</v>
      </c>
      <c r="AA101" s="86">
        <f>MAX(0.1,Y101/(1+((Calibration!J101*U101)/(Calibration!H101*S101))))</f>
        <v>3.3947007644769931</v>
      </c>
      <c r="AC101" s="4">
        <f t="shared" ref="AC101:AC106" si="101">IF(CalIntegrationType=1,FixedMeasTimeUC/3,AA101)</f>
        <v>3.3947007644769931</v>
      </c>
      <c r="AD101" s="4">
        <f t="shared" ref="AD101:AD106" si="102">IF(CalIntegrationType=1,FixedMeasTimeUC/3,Y101)</f>
        <v>5.5</v>
      </c>
      <c r="AE101" s="4">
        <f t="shared" ref="AE101:AE106" si="103">IF(CalIntegrationType=1,FixedMeasTimeUC/3,Z101)</f>
        <v>2.1052992355230069</v>
      </c>
      <c r="AF101" s="4">
        <f t="shared" ref="AF101:AF106" si="104">IF(IntegrationType=1,FixedMeasTime/3,R101)</f>
        <v>0.1</v>
      </c>
      <c r="AG101" s="4">
        <f t="shared" ref="AG101:AG106" si="105">IF(IntegrationType=1,FixedMeasTime/3,P101)</f>
        <v>0.1</v>
      </c>
      <c r="AH101" s="4">
        <f t="shared" ref="AH101:AH106" si="106">IF(IntegrationType=1,FixedMeasTime/3,P101)</f>
        <v>0.1</v>
      </c>
      <c r="AI101" s="4">
        <f t="shared" si="74"/>
        <v>0.30000000000000004</v>
      </c>
      <c r="AJ101" s="4">
        <f t="shared" si="75"/>
        <v>24.489999999999988</v>
      </c>
      <c r="AK101" s="4">
        <f t="shared" si="77"/>
        <v>17</v>
      </c>
      <c r="AL101" s="4">
        <f t="shared" si="67"/>
        <v>0</v>
      </c>
      <c r="AM101" s="4">
        <f t="shared" si="78"/>
        <v>0</v>
      </c>
      <c r="AN101" s="4">
        <f t="shared" si="79"/>
        <v>0</v>
      </c>
      <c r="AO101" s="4">
        <f t="shared" si="80"/>
        <v>0</v>
      </c>
      <c r="AP101" s="4">
        <f t="shared" si="81"/>
        <v>0</v>
      </c>
      <c r="AQ101" s="4">
        <f t="shared" si="82"/>
        <v>0</v>
      </c>
      <c r="AR101" s="4">
        <f t="shared" si="83"/>
        <v>0</v>
      </c>
      <c r="AS101" s="4">
        <f t="shared" si="84"/>
        <v>0</v>
      </c>
      <c r="AT101" s="4">
        <f t="shared" si="85"/>
        <v>0</v>
      </c>
      <c r="AU101" s="4">
        <f t="shared" si="86"/>
        <v>0</v>
      </c>
      <c r="AV101" s="4">
        <f t="shared" si="87"/>
        <v>0</v>
      </c>
      <c r="AW101" s="4">
        <f t="shared" si="88"/>
        <v>0</v>
      </c>
      <c r="AX101" s="4">
        <f t="shared" si="89"/>
        <v>0</v>
      </c>
      <c r="AY101" s="4">
        <f t="shared" si="90"/>
        <v>0</v>
      </c>
      <c r="AZ101" s="4">
        <f t="shared" si="91"/>
        <v>0</v>
      </c>
      <c r="BA101" s="4">
        <f t="shared" si="92"/>
        <v>0</v>
      </c>
      <c r="BB101" s="4">
        <f t="shared" si="93"/>
        <v>17</v>
      </c>
      <c r="BC101" s="4">
        <f t="shared" si="94"/>
        <v>0</v>
      </c>
      <c r="BD101" s="4">
        <f t="shared" si="95"/>
        <v>0</v>
      </c>
      <c r="BE101" s="4">
        <f t="shared" si="96"/>
        <v>0</v>
      </c>
      <c r="BF101" s="4">
        <f t="shared" si="97"/>
        <v>0</v>
      </c>
    </row>
    <row r="102" spans="1:58">
      <c r="A102" s="4">
        <f>MIN(StopFreqGHz+0.000001,FieldFox!A101+FreqStep)</f>
        <v>26.500001000000001</v>
      </c>
      <c r="B102" s="4">
        <f t="shared" si="68"/>
        <v>-152</v>
      </c>
      <c r="C102" s="4">
        <f t="shared" si="69"/>
        <v>2</v>
      </c>
      <c r="D102" s="4">
        <f t="shared" si="70"/>
        <v>0.33333333333333331</v>
      </c>
      <c r="E102" s="86">
        <f>NseMeas!H102</f>
        <v>438.4470651377784</v>
      </c>
      <c r="F102" s="4">
        <f t="shared" si="71"/>
        <v>4.0000000000000009</v>
      </c>
      <c r="G102" s="4">
        <f t="shared" si="72"/>
        <v>20</v>
      </c>
      <c r="H102" s="88">
        <f>10*LOG10(P1dbBWghz*1000000000*NseMeas!J102/NseMeas!BW)</f>
        <v>-28.652597449359142</v>
      </c>
      <c r="I102" s="4" t="b">
        <f t="shared" si="73"/>
        <v>0</v>
      </c>
      <c r="J102" s="87">
        <f>MAX(NseMeas!T102,K102/1000)</f>
        <v>825664854.90636683</v>
      </c>
      <c r="K102" s="87">
        <f>NseMeas!S102</f>
        <v>1844875354.154526</v>
      </c>
      <c r="L102" s="87">
        <f>NseMeas!X102</f>
        <v>1019210499.2481589</v>
      </c>
      <c r="M102" s="88">
        <f t="shared" si="98"/>
        <v>43.163202203876551</v>
      </c>
      <c r="N102" s="87">
        <f>4*K102*NseMeas!K102*Jitter1H1s/SQRT($BZ$4)</f>
        <v>2.283887131344474</v>
      </c>
      <c r="O102" s="4">
        <f t="shared" si="99"/>
        <v>0.2</v>
      </c>
      <c r="P102" s="4">
        <f t="shared" si="100"/>
        <v>0.1</v>
      </c>
      <c r="Q102" s="86">
        <f>MAX(0.1,P102/(1+(NseMeas!J102*J102/(NseMeas!L102*L102))))</f>
        <v>0.1</v>
      </c>
      <c r="R102" s="86">
        <f>MAX(0.1,P102/(1+((NseMeas!L102*L102)/(NseMeas!J102*J102))))</f>
        <v>0.1</v>
      </c>
      <c r="S102" s="87">
        <f>MAX(Calibration!Q102,T102/1000)</f>
        <v>6.4485344474614736E-2</v>
      </c>
      <c r="T102" s="87">
        <f>Calibration!P102</f>
        <v>1.0644853444746147</v>
      </c>
      <c r="U102" s="87">
        <f>ABS(Calibration!S102)</f>
        <v>1</v>
      </c>
      <c r="V102" s="88">
        <f>T_0*(10^((O102+DashBoard!$N$6)/10)-1)-N102</f>
        <v>48.436403801119091</v>
      </c>
      <c r="W102" s="87">
        <f>4*T102*NseMeas!T102*Jitter1H1s/SQRT($BZ$4)</f>
        <v>1488536.0455197236</v>
      </c>
      <c r="X102" s="4">
        <f t="shared" si="76"/>
        <v>944441210.55747628</v>
      </c>
      <c r="Y102" s="4">
        <f>MIN(DashBoard!$N$5/2, X102/2)</f>
        <v>5.5</v>
      </c>
      <c r="Z102" s="86">
        <f>MAX(0.1,Y102/(1+(Calibration!H102*S102/(Calibration!J102*U102))))</f>
        <v>2.1052992355230069</v>
      </c>
      <c r="AA102" s="86">
        <f>MAX(0.1,Y102/(1+((Calibration!J102*U102)/(Calibration!H102*S102))))</f>
        <v>3.3947007644769931</v>
      </c>
      <c r="AC102" s="4">
        <f t="shared" si="101"/>
        <v>3.3947007644769931</v>
      </c>
      <c r="AD102" s="4">
        <f t="shared" si="102"/>
        <v>5.5</v>
      </c>
      <c r="AE102" s="4">
        <f t="shared" si="103"/>
        <v>2.1052992355230069</v>
      </c>
      <c r="AF102" s="4">
        <f t="shared" si="104"/>
        <v>0.1</v>
      </c>
      <c r="AG102" s="4">
        <f t="shared" si="105"/>
        <v>0.1</v>
      </c>
      <c r="AH102" s="4">
        <f t="shared" si="106"/>
        <v>0.1</v>
      </c>
      <c r="AI102" s="4">
        <f t="shared" si="74"/>
        <v>0.30000000000000004</v>
      </c>
      <c r="AJ102" s="4">
        <f t="shared" si="75"/>
        <v>24.489999999999988</v>
      </c>
      <c r="AK102" s="4">
        <f t="shared" si="77"/>
        <v>17</v>
      </c>
      <c r="AL102" s="4">
        <f t="shared" si="67"/>
        <v>0</v>
      </c>
      <c r="AM102" s="4">
        <f t="shared" si="78"/>
        <v>0</v>
      </c>
      <c r="AN102" s="4">
        <f t="shared" si="79"/>
        <v>0</v>
      </c>
      <c r="AO102" s="4">
        <f t="shared" si="80"/>
        <v>0</v>
      </c>
      <c r="AP102" s="4">
        <f t="shared" si="81"/>
        <v>0</v>
      </c>
      <c r="AQ102" s="4">
        <f t="shared" si="82"/>
        <v>0</v>
      </c>
      <c r="AR102" s="4">
        <f t="shared" si="83"/>
        <v>0</v>
      </c>
      <c r="AS102" s="4">
        <f t="shared" si="84"/>
        <v>0</v>
      </c>
      <c r="AT102" s="4">
        <f t="shared" si="85"/>
        <v>0</v>
      </c>
      <c r="AU102" s="4">
        <f t="shared" si="86"/>
        <v>0</v>
      </c>
      <c r="AV102" s="4">
        <f t="shared" si="87"/>
        <v>0</v>
      </c>
      <c r="AW102" s="4">
        <f t="shared" si="88"/>
        <v>0</v>
      </c>
      <c r="AX102" s="4">
        <f t="shared" si="89"/>
        <v>0</v>
      </c>
      <c r="AY102" s="4">
        <f t="shared" si="90"/>
        <v>0</v>
      </c>
      <c r="AZ102" s="4">
        <f t="shared" si="91"/>
        <v>0</v>
      </c>
      <c r="BA102" s="4">
        <f t="shared" si="92"/>
        <v>0</v>
      </c>
      <c r="BB102" s="4">
        <f t="shared" si="93"/>
        <v>17</v>
      </c>
      <c r="BC102" s="4">
        <f t="shared" si="94"/>
        <v>0</v>
      </c>
      <c r="BD102" s="4">
        <f t="shared" si="95"/>
        <v>0</v>
      </c>
      <c r="BE102" s="4">
        <f t="shared" si="96"/>
        <v>0</v>
      </c>
      <c r="BF102" s="4">
        <f t="shared" si="97"/>
        <v>0</v>
      </c>
    </row>
    <row r="103" spans="1:58">
      <c r="A103" s="4">
        <f>MIN(StopFreqGHz+0.000001,FieldFox!A102+FreqStep)</f>
        <v>26.500001000000001</v>
      </c>
      <c r="B103" s="4">
        <f t="shared" si="68"/>
        <v>-152</v>
      </c>
      <c r="C103" s="4">
        <f t="shared" si="69"/>
        <v>2</v>
      </c>
      <c r="D103" s="4">
        <f t="shared" si="70"/>
        <v>0.33333333333333331</v>
      </c>
      <c r="E103" s="86">
        <f>NseMeas!H103</f>
        <v>438.4470651377784</v>
      </c>
      <c r="F103" s="4">
        <f t="shared" si="71"/>
        <v>4.0000000000000009</v>
      </c>
      <c r="G103" s="4">
        <f t="shared" si="72"/>
        <v>20</v>
      </c>
      <c r="H103" s="88">
        <f>10*LOG10(P1dbBWghz*1000000000*NseMeas!J103/NseMeas!BW)</f>
        <v>-28.652597449359142</v>
      </c>
      <c r="I103" s="4" t="b">
        <f t="shared" si="73"/>
        <v>0</v>
      </c>
      <c r="J103" s="87">
        <f>MAX(NseMeas!T103,K103/1000)</f>
        <v>825664854.90636683</v>
      </c>
      <c r="K103" s="87">
        <f>NseMeas!S103</f>
        <v>1844875354.154526</v>
      </c>
      <c r="L103" s="87">
        <f>NseMeas!X103</f>
        <v>1019210499.2481589</v>
      </c>
      <c r="M103" s="88">
        <f t="shared" si="98"/>
        <v>43.163202203876551</v>
      </c>
      <c r="N103" s="87">
        <f>4*K103*NseMeas!K103*Jitter1H1s/SQRT($BZ$4)</f>
        <v>2.283887131344474</v>
      </c>
      <c r="O103" s="4">
        <f t="shared" si="99"/>
        <v>0.2</v>
      </c>
      <c r="P103" s="4">
        <f t="shared" si="100"/>
        <v>0.1</v>
      </c>
      <c r="Q103" s="86">
        <f>MAX(0.1,P103/(1+(NseMeas!J103*J103/(NseMeas!L103*L103))))</f>
        <v>0.1</v>
      </c>
      <c r="R103" s="86">
        <f>MAX(0.1,P103/(1+((NseMeas!L103*L103)/(NseMeas!J103*J103))))</f>
        <v>0.1</v>
      </c>
      <c r="S103" s="87">
        <f>MAX(Calibration!Q103,T103/1000)</f>
        <v>6.4485344474614736E-2</v>
      </c>
      <c r="T103" s="87">
        <f>Calibration!P103</f>
        <v>1.0644853444746147</v>
      </c>
      <c r="U103" s="87">
        <f>ABS(Calibration!S103)</f>
        <v>1</v>
      </c>
      <c r="V103" s="88">
        <f>T_0*(10^((O103+DashBoard!$N$6)/10)-1)-N103</f>
        <v>48.436403801119091</v>
      </c>
      <c r="W103" s="87">
        <f>4*T103*NseMeas!T103*Jitter1H1s/SQRT($BZ$4)</f>
        <v>1488536.0455197236</v>
      </c>
      <c r="X103" s="4">
        <f t="shared" si="76"/>
        <v>944441210.55747628</v>
      </c>
      <c r="Y103" s="4">
        <f>MIN(DashBoard!$N$5/2, X103/2)</f>
        <v>5.5</v>
      </c>
      <c r="Z103" s="86">
        <f>MAX(0.1,Y103/(1+(Calibration!H103*S103/(Calibration!J103*U103))))</f>
        <v>2.1052992355230069</v>
      </c>
      <c r="AA103" s="86">
        <f>MAX(0.1,Y103/(1+((Calibration!J103*U103)/(Calibration!H103*S103))))</f>
        <v>3.3947007644769931</v>
      </c>
      <c r="AC103" s="4">
        <f t="shared" si="101"/>
        <v>3.3947007644769931</v>
      </c>
      <c r="AD103" s="4">
        <f t="shared" si="102"/>
        <v>5.5</v>
      </c>
      <c r="AE103" s="4">
        <f t="shared" si="103"/>
        <v>2.1052992355230069</v>
      </c>
      <c r="AF103" s="4">
        <f t="shared" si="104"/>
        <v>0.1</v>
      </c>
      <c r="AG103" s="4">
        <f t="shared" si="105"/>
        <v>0.1</v>
      </c>
      <c r="AH103" s="4">
        <f t="shared" si="106"/>
        <v>0.1</v>
      </c>
      <c r="AI103" s="4">
        <f t="shared" si="74"/>
        <v>0.30000000000000004</v>
      </c>
      <c r="AJ103" s="4">
        <f t="shared" si="75"/>
        <v>24.489999999999988</v>
      </c>
      <c r="AK103" s="4">
        <f t="shared" si="77"/>
        <v>17</v>
      </c>
      <c r="AL103" s="4">
        <f t="shared" si="67"/>
        <v>0</v>
      </c>
      <c r="AM103" s="4">
        <f t="shared" si="78"/>
        <v>0</v>
      </c>
      <c r="AN103" s="4">
        <f t="shared" si="79"/>
        <v>0</v>
      </c>
      <c r="AO103" s="4">
        <f t="shared" si="80"/>
        <v>0</v>
      </c>
      <c r="AP103" s="4">
        <f t="shared" si="81"/>
        <v>0</v>
      </c>
      <c r="AQ103" s="4">
        <f t="shared" si="82"/>
        <v>0</v>
      </c>
      <c r="AR103" s="4">
        <f t="shared" si="83"/>
        <v>0</v>
      </c>
      <c r="AS103" s="4">
        <f t="shared" si="84"/>
        <v>0</v>
      </c>
      <c r="AT103" s="4">
        <f t="shared" si="85"/>
        <v>0</v>
      </c>
      <c r="AU103" s="4">
        <f t="shared" si="86"/>
        <v>0</v>
      </c>
      <c r="AV103" s="4">
        <f t="shared" si="87"/>
        <v>0</v>
      </c>
      <c r="AW103" s="4">
        <f t="shared" si="88"/>
        <v>0</v>
      </c>
      <c r="AX103" s="4">
        <f t="shared" si="89"/>
        <v>0</v>
      </c>
      <c r="AY103" s="4">
        <f t="shared" si="90"/>
        <v>0</v>
      </c>
      <c r="AZ103" s="4">
        <f t="shared" si="91"/>
        <v>0</v>
      </c>
      <c r="BA103" s="4">
        <f t="shared" si="92"/>
        <v>0</v>
      </c>
      <c r="BB103" s="4">
        <f t="shared" si="93"/>
        <v>17</v>
      </c>
      <c r="BC103" s="4">
        <f t="shared" si="94"/>
        <v>0</v>
      </c>
      <c r="BD103" s="4">
        <f t="shared" si="95"/>
        <v>0</v>
      </c>
      <c r="BE103" s="4">
        <f t="shared" si="96"/>
        <v>0</v>
      </c>
      <c r="BF103" s="4">
        <f t="shared" si="97"/>
        <v>0</v>
      </c>
    </row>
    <row r="104" spans="1:58">
      <c r="A104" s="4">
        <f>MIN(StopFreqGHz+0.000001,FieldFox!A103+FreqStep)</f>
        <v>26.500001000000001</v>
      </c>
      <c r="B104" s="4">
        <f t="shared" si="68"/>
        <v>-152</v>
      </c>
      <c r="C104" s="4">
        <f t="shared" si="69"/>
        <v>2</v>
      </c>
      <c r="D104" s="4">
        <f t="shared" si="70"/>
        <v>0.33333333333333331</v>
      </c>
      <c r="E104" s="86">
        <f>NseMeas!H104</f>
        <v>438.4470651377784</v>
      </c>
      <c r="F104" s="4">
        <f t="shared" si="71"/>
        <v>4.0000000000000009</v>
      </c>
      <c r="G104" s="4">
        <f t="shared" si="72"/>
        <v>20</v>
      </c>
      <c r="H104" s="88">
        <f>10*LOG10(P1dbBWghz*1000000000*NseMeas!J104/NseMeas!BW)</f>
        <v>-28.652597449359142</v>
      </c>
      <c r="I104" s="4" t="b">
        <f t="shared" si="73"/>
        <v>0</v>
      </c>
      <c r="J104" s="87">
        <f>MAX(NseMeas!T104,K104/1000)</f>
        <v>825664854.90636683</v>
      </c>
      <c r="K104" s="87">
        <f>NseMeas!S104</f>
        <v>1844875354.154526</v>
      </c>
      <c r="L104" s="87">
        <f>NseMeas!X104</f>
        <v>1019210499.2481589</v>
      </c>
      <c r="M104" s="88">
        <f t="shared" si="98"/>
        <v>43.163202203876551</v>
      </c>
      <c r="N104" s="87">
        <f>4*K104*NseMeas!K104*Jitter1H1s/SQRT($BZ$4)</f>
        <v>2.283887131344474</v>
      </c>
      <c r="O104" s="4">
        <f t="shared" si="99"/>
        <v>0.2</v>
      </c>
      <c r="P104" s="4">
        <f t="shared" si="100"/>
        <v>0.1</v>
      </c>
      <c r="Q104" s="86">
        <f>MAX(0.1,P104/(1+(NseMeas!J104*J104/(NseMeas!L104*L104))))</f>
        <v>0.1</v>
      </c>
      <c r="R104" s="86">
        <f>MAX(0.1,P104/(1+((NseMeas!L104*L104)/(NseMeas!J104*J104))))</f>
        <v>0.1</v>
      </c>
      <c r="S104" s="87">
        <f>MAX(Calibration!Q104,T104/1000)</f>
        <v>6.4485344474614736E-2</v>
      </c>
      <c r="T104" s="87">
        <f>Calibration!P104</f>
        <v>1.0644853444746147</v>
      </c>
      <c r="U104" s="87">
        <f>ABS(Calibration!S104)</f>
        <v>1</v>
      </c>
      <c r="V104" s="88">
        <f>T_0*(10^((O104+DashBoard!$N$6)/10)-1)-N104</f>
        <v>48.436403801119091</v>
      </c>
      <c r="W104" s="87">
        <f>4*T104*NseMeas!T104*Jitter1H1s/SQRT($BZ$4)</f>
        <v>1488536.0455197236</v>
      </c>
      <c r="X104" s="4">
        <f t="shared" si="76"/>
        <v>944441210.55747628</v>
      </c>
      <c r="Y104" s="4">
        <f>MIN(DashBoard!$N$5/2, X104/2)</f>
        <v>5.5</v>
      </c>
      <c r="Z104" s="86">
        <f>MAX(0.1,Y104/(1+(Calibration!H104*S104/(Calibration!J104*U104))))</f>
        <v>2.1052992355230069</v>
      </c>
      <c r="AA104" s="86">
        <f>MAX(0.1,Y104/(1+((Calibration!J104*U104)/(Calibration!H104*S104))))</f>
        <v>3.3947007644769931</v>
      </c>
      <c r="AC104" s="4">
        <f t="shared" si="101"/>
        <v>3.3947007644769931</v>
      </c>
      <c r="AD104" s="4">
        <f t="shared" si="102"/>
        <v>5.5</v>
      </c>
      <c r="AE104" s="4">
        <f t="shared" si="103"/>
        <v>2.1052992355230069</v>
      </c>
      <c r="AF104" s="4">
        <f t="shared" si="104"/>
        <v>0.1</v>
      </c>
      <c r="AG104" s="4">
        <f t="shared" si="105"/>
        <v>0.1</v>
      </c>
      <c r="AH104" s="4">
        <f t="shared" si="106"/>
        <v>0.1</v>
      </c>
      <c r="AI104" s="4">
        <f t="shared" si="74"/>
        <v>0.30000000000000004</v>
      </c>
      <c r="AJ104" s="4">
        <f t="shared" si="75"/>
        <v>24.489999999999988</v>
      </c>
      <c r="AK104" s="4">
        <f t="shared" si="77"/>
        <v>17</v>
      </c>
      <c r="AL104" s="4">
        <f t="shared" si="67"/>
        <v>0</v>
      </c>
      <c r="AM104" s="4">
        <f t="shared" si="78"/>
        <v>0</v>
      </c>
      <c r="AN104" s="4">
        <f t="shared" si="79"/>
        <v>0</v>
      </c>
      <c r="AO104" s="4">
        <f t="shared" si="80"/>
        <v>0</v>
      </c>
      <c r="AP104" s="4">
        <f t="shared" si="81"/>
        <v>0</v>
      </c>
      <c r="AQ104" s="4">
        <f t="shared" si="82"/>
        <v>0</v>
      </c>
      <c r="AR104" s="4">
        <f t="shared" si="83"/>
        <v>0</v>
      </c>
      <c r="AS104" s="4">
        <f t="shared" si="84"/>
        <v>0</v>
      </c>
      <c r="AT104" s="4">
        <f t="shared" si="85"/>
        <v>0</v>
      </c>
      <c r="AU104" s="4">
        <f t="shared" si="86"/>
        <v>0</v>
      </c>
      <c r="AV104" s="4">
        <f t="shared" si="87"/>
        <v>0</v>
      </c>
      <c r="AW104" s="4">
        <f t="shared" si="88"/>
        <v>0</v>
      </c>
      <c r="AX104" s="4">
        <f t="shared" si="89"/>
        <v>0</v>
      </c>
      <c r="AY104" s="4">
        <f t="shared" si="90"/>
        <v>0</v>
      </c>
      <c r="AZ104" s="4">
        <f t="shared" si="91"/>
        <v>0</v>
      </c>
      <c r="BA104" s="4">
        <f t="shared" si="92"/>
        <v>0</v>
      </c>
      <c r="BB104" s="4">
        <f t="shared" si="93"/>
        <v>17</v>
      </c>
      <c r="BC104" s="4">
        <f t="shared" si="94"/>
        <v>0</v>
      </c>
      <c r="BD104" s="4">
        <f t="shared" si="95"/>
        <v>0</v>
      </c>
      <c r="BE104" s="4">
        <f t="shared" si="96"/>
        <v>0</v>
      </c>
      <c r="BF104" s="4">
        <f t="shared" si="97"/>
        <v>0</v>
      </c>
    </row>
    <row r="105" spans="1:58">
      <c r="A105" s="4">
        <f>MIN(StopFreqGHz+0.000001,FieldFox!A104+FreqStep)</f>
        <v>26.500001000000001</v>
      </c>
      <c r="B105" s="4">
        <f t="shared" si="68"/>
        <v>-152</v>
      </c>
      <c r="C105" s="4">
        <f t="shared" si="69"/>
        <v>2</v>
      </c>
      <c r="D105" s="4">
        <f t="shared" si="70"/>
        <v>0.33333333333333331</v>
      </c>
      <c r="E105" s="86">
        <f>NseMeas!H105</f>
        <v>438.4470651377784</v>
      </c>
      <c r="F105" s="4">
        <f t="shared" si="71"/>
        <v>4.0000000000000009</v>
      </c>
      <c r="G105" s="4">
        <f t="shared" si="72"/>
        <v>20</v>
      </c>
      <c r="H105" s="88">
        <f>10*LOG10(P1dbBWghz*1000000000*NseMeas!J105/NseMeas!BW)</f>
        <v>-28.652597449359142</v>
      </c>
      <c r="I105" s="4" t="b">
        <f t="shared" si="73"/>
        <v>0</v>
      </c>
      <c r="J105" s="87">
        <f>MAX(NseMeas!T105,K105/1000)</f>
        <v>825664854.90636683</v>
      </c>
      <c r="K105" s="87">
        <f>NseMeas!S105</f>
        <v>1844875354.154526</v>
      </c>
      <c r="L105" s="87">
        <f>NseMeas!X105</f>
        <v>1019210499.2481589</v>
      </c>
      <c r="M105" s="88">
        <f t="shared" si="98"/>
        <v>43.163202203876551</v>
      </c>
      <c r="N105" s="87">
        <f>4*K105*NseMeas!K105*Jitter1H1s/SQRT($BZ$4)</f>
        <v>2.283887131344474</v>
      </c>
      <c r="O105" s="4">
        <f t="shared" si="99"/>
        <v>0.2</v>
      </c>
      <c r="P105" s="4">
        <f t="shared" si="100"/>
        <v>0.1</v>
      </c>
      <c r="Q105" s="86">
        <f>MAX(0.1,P105/(1+(NseMeas!J105*J105/(NseMeas!L105*L105))))</f>
        <v>0.1</v>
      </c>
      <c r="R105" s="86">
        <f>MAX(0.1,P105/(1+((NseMeas!L105*L105)/(NseMeas!J105*J105))))</f>
        <v>0.1</v>
      </c>
      <c r="S105" s="87">
        <f>MAX(Calibration!Q105,T105/1000)</f>
        <v>6.4485344474614736E-2</v>
      </c>
      <c r="T105" s="87">
        <f>Calibration!P105</f>
        <v>1.0644853444746147</v>
      </c>
      <c r="U105" s="87">
        <f>ABS(Calibration!S105)</f>
        <v>1</v>
      </c>
      <c r="V105" s="88">
        <f>T_0*(10^((O105+DashBoard!$N$6)/10)-1)-N105</f>
        <v>48.436403801119091</v>
      </c>
      <c r="W105" s="87">
        <f>4*T105*NseMeas!T105*Jitter1H1s/SQRT($BZ$4)</f>
        <v>1488536.0455197236</v>
      </c>
      <c r="X105" s="4">
        <f t="shared" si="76"/>
        <v>944441210.55747628</v>
      </c>
      <c r="Y105" s="4">
        <f>MIN(DashBoard!$N$5/2, X105/2)</f>
        <v>5.5</v>
      </c>
      <c r="Z105" s="86">
        <f>MAX(0.1,Y105/(1+(Calibration!H105*S105/(Calibration!J105*U105))))</f>
        <v>2.1052992355230069</v>
      </c>
      <c r="AA105" s="86">
        <f>MAX(0.1,Y105/(1+((Calibration!J105*U105)/(Calibration!H105*S105))))</f>
        <v>3.3947007644769931</v>
      </c>
      <c r="AC105" s="4">
        <f t="shared" si="101"/>
        <v>3.3947007644769931</v>
      </c>
      <c r="AD105" s="4">
        <f t="shared" si="102"/>
        <v>5.5</v>
      </c>
      <c r="AE105" s="4">
        <f t="shared" si="103"/>
        <v>2.1052992355230069</v>
      </c>
      <c r="AF105" s="4">
        <f t="shared" si="104"/>
        <v>0.1</v>
      </c>
      <c r="AG105" s="4">
        <f t="shared" si="105"/>
        <v>0.1</v>
      </c>
      <c r="AH105" s="4">
        <f t="shared" si="106"/>
        <v>0.1</v>
      </c>
      <c r="AI105" s="4">
        <f t="shared" si="74"/>
        <v>0.30000000000000004</v>
      </c>
      <c r="AJ105" s="4">
        <f t="shared" si="75"/>
        <v>24.489999999999988</v>
      </c>
      <c r="AK105" s="4">
        <f t="shared" si="77"/>
        <v>17</v>
      </c>
      <c r="AL105" s="4">
        <f t="shared" si="67"/>
        <v>0</v>
      </c>
      <c r="AM105" s="4">
        <f t="shared" si="78"/>
        <v>0</v>
      </c>
      <c r="AN105" s="4">
        <f t="shared" si="79"/>
        <v>0</v>
      </c>
      <c r="AO105" s="4">
        <f t="shared" si="80"/>
        <v>0</v>
      </c>
      <c r="AP105" s="4">
        <f t="shared" si="81"/>
        <v>0</v>
      </c>
      <c r="AQ105" s="4">
        <f t="shared" si="82"/>
        <v>0</v>
      </c>
      <c r="AR105" s="4">
        <f t="shared" si="83"/>
        <v>0</v>
      </c>
      <c r="AS105" s="4">
        <f t="shared" si="84"/>
        <v>0</v>
      </c>
      <c r="AT105" s="4">
        <f t="shared" si="85"/>
        <v>0</v>
      </c>
      <c r="AU105" s="4">
        <f t="shared" si="86"/>
        <v>0</v>
      </c>
      <c r="AV105" s="4">
        <f t="shared" si="87"/>
        <v>0</v>
      </c>
      <c r="AW105" s="4">
        <f t="shared" si="88"/>
        <v>0</v>
      </c>
      <c r="AX105" s="4">
        <f t="shared" si="89"/>
        <v>0</v>
      </c>
      <c r="AY105" s="4">
        <f t="shared" si="90"/>
        <v>0</v>
      </c>
      <c r="AZ105" s="4">
        <f t="shared" si="91"/>
        <v>0</v>
      </c>
      <c r="BA105" s="4">
        <f t="shared" si="92"/>
        <v>0</v>
      </c>
      <c r="BB105" s="4">
        <f t="shared" si="93"/>
        <v>17</v>
      </c>
      <c r="BC105" s="4">
        <f t="shared" si="94"/>
        <v>0</v>
      </c>
      <c r="BD105" s="4">
        <f t="shared" si="95"/>
        <v>0</v>
      </c>
      <c r="BE105" s="4">
        <f t="shared" si="96"/>
        <v>0</v>
      </c>
      <c r="BF105" s="4">
        <f t="shared" si="97"/>
        <v>0</v>
      </c>
    </row>
    <row r="106" spans="1:58">
      <c r="A106" s="4">
        <f>MIN(StopFreqGHz+0.000001,FieldFox!A105+FreqStep)</f>
        <v>26.500001000000001</v>
      </c>
      <c r="B106" s="4">
        <f t="shared" si="68"/>
        <v>-152</v>
      </c>
      <c r="C106" s="4">
        <f t="shared" si="69"/>
        <v>2</v>
      </c>
      <c r="D106" s="4">
        <f t="shared" si="70"/>
        <v>0.33333333333333331</v>
      </c>
      <c r="E106" s="86">
        <f>NseMeas!H106</f>
        <v>438.4470651377784</v>
      </c>
      <c r="F106" s="4">
        <f t="shared" si="71"/>
        <v>4.0000000000000009</v>
      </c>
      <c r="G106" s="4">
        <f t="shared" si="72"/>
        <v>20</v>
      </c>
      <c r="H106" s="88">
        <f>10*LOG10(P1dbBWghz*1000000000*NseMeas!J106/NseMeas!BW)</f>
        <v>-28.652597449359142</v>
      </c>
      <c r="I106" s="4" t="b">
        <f t="shared" si="73"/>
        <v>0</v>
      </c>
      <c r="J106" s="87">
        <f>MAX(NseMeas!T106,K106/1000)</f>
        <v>825664854.90636683</v>
      </c>
      <c r="K106" s="87">
        <f>NseMeas!S106</f>
        <v>1844875354.154526</v>
      </c>
      <c r="L106" s="87">
        <f>NseMeas!X106</f>
        <v>1019210499.2481589</v>
      </c>
      <c r="M106" s="88">
        <f t="shared" si="98"/>
        <v>43.163202203876551</v>
      </c>
      <c r="N106" s="87">
        <f>4*K106*NseMeas!K106*Jitter1H1s/SQRT($BZ$4)</f>
        <v>2.283887131344474</v>
      </c>
      <c r="O106" s="4">
        <f t="shared" si="99"/>
        <v>0.2</v>
      </c>
      <c r="P106" s="4">
        <f t="shared" si="100"/>
        <v>0.1</v>
      </c>
      <c r="Q106" s="86">
        <f>MAX(0.1,P106/(1+(NseMeas!J106*J106/(NseMeas!L106*L106))))</f>
        <v>0.1</v>
      </c>
      <c r="R106" s="86">
        <f>MAX(0.1,P106/(1+((NseMeas!L106*L106)/(NseMeas!J106*J106))))</f>
        <v>0.1</v>
      </c>
      <c r="S106" s="87">
        <f>MAX(Calibration!Q106,T106/1000)</f>
        <v>6.4485344474614736E-2</v>
      </c>
      <c r="T106" s="87">
        <f>Calibration!P106</f>
        <v>1.0644853444746147</v>
      </c>
      <c r="U106" s="87">
        <f>ABS(Calibration!S106)</f>
        <v>1</v>
      </c>
      <c r="V106" s="88">
        <f>T_0*(10^((O106+DashBoard!$N$6)/10)-1)-N106</f>
        <v>48.436403801119091</v>
      </c>
      <c r="W106" s="87">
        <f>4*T106*NseMeas!T106*Jitter1H1s/SQRT($BZ$4)</f>
        <v>1488536.0455197236</v>
      </c>
      <c r="X106" s="4">
        <f t="shared" si="76"/>
        <v>944441210.55747628</v>
      </c>
      <c r="Y106" s="4">
        <f>MIN(DashBoard!$N$5/2, X106/2)</f>
        <v>5.5</v>
      </c>
      <c r="Z106" s="86">
        <f>MAX(0.1,Y106/(1+(Calibration!H106*S106/(Calibration!J106*U106))))</f>
        <v>2.1052992355230069</v>
      </c>
      <c r="AA106" s="86">
        <f>MAX(0.1,Y106/(1+((Calibration!J106*U106)/(Calibration!H106*S106))))</f>
        <v>3.3947007644769931</v>
      </c>
      <c r="AC106" s="4">
        <f t="shared" si="101"/>
        <v>3.3947007644769931</v>
      </c>
      <c r="AD106" s="4">
        <f t="shared" si="102"/>
        <v>5.5</v>
      </c>
      <c r="AE106" s="4">
        <f t="shared" si="103"/>
        <v>2.1052992355230069</v>
      </c>
      <c r="AF106" s="4">
        <f t="shared" si="104"/>
        <v>0.1</v>
      </c>
      <c r="AG106" s="4">
        <f t="shared" si="105"/>
        <v>0.1</v>
      </c>
      <c r="AH106" s="4">
        <f t="shared" si="106"/>
        <v>0.1</v>
      </c>
      <c r="AI106" s="4">
        <f t="shared" si="74"/>
        <v>0.30000000000000004</v>
      </c>
      <c r="AJ106" s="4">
        <f t="shared" si="75"/>
        <v>24.489999999999988</v>
      </c>
      <c r="AK106" s="4">
        <f t="shared" si="77"/>
        <v>17</v>
      </c>
      <c r="AL106" s="4">
        <f t="shared" si="67"/>
        <v>0</v>
      </c>
      <c r="AM106" s="4">
        <f t="shared" si="78"/>
        <v>0</v>
      </c>
      <c r="AN106" s="4">
        <f t="shared" si="79"/>
        <v>0</v>
      </c>
      <c r="AO106" s="4">
        <f t="shared" si="80"/>
        <v>0</v>
      </c>
      <c r="AP106" s="4">
        <f t="shared" si="81"/>
        <v>0</v>
      </c>
      <c r="AQ106" s="4">
        <f t="shared" si="82"/>
        <v>0</v>
      </c>
      <c r="AR106" s="4">
        <f t="shared" si="83"/>
        <v>0</v>
      </c>
      <c r="AS106" s="4">
        <f t="shared" si="84"/>
        <v>0</v>
      </c>
      <c r="AT106" s="4">
        <f t="shared" si="85"/>
        <v>0</v>
      </c>
      <c r="AU106" s="4">
        <f t="shared" si="86"/>
        <v>0</v>
      </c>
      <c r="AV106" s="4">
        <f t="shared" si="87"/>
        <v>0</v>
      </c>
      <c r="AW106" s="4">
        <f t="shared" si="88"/>
        <v>0</v>
      </c>
      <c r="AX106" s="4">
        <f t="shared" si="89"/>
        <v>0</v>
      </c>
      <c r="AY106" s="4">
        <f t="shared" si="90"/>
        <v>0</v>
      </c>
      <c r="AZ106" s="4">
        <f t="shared" si="91"/>
        <v>0</v>
      </c>
      <c r="BA106" s="4">
        <f t="shared" si="92"/>
        <v>0</v>
      </c>
      <c r="BB106" s="4">
        <f t="shared" si="93"/>
        <v>17</v>
      </c>
      <c r="BC106" s="4">
        <f t="shared" si="94"/>
        <v>0</v>
      </c>
      <c r="BD106" s="4">
        <f t="shared" si="95"/>
        <v>0</v>
      </c>
      <c r="BE106" s="4">
        <f t="shared" si="96"/>
        <v>0</v>
      </c>
      <c r="BF106" s="4">
        <f t="shared" si="97"/>
        <v>0</v>
      </c>
    </row>
  </sheetData>
  <sheetProtection selectLockedCells="1" selectUnlockedCells="1"/>
  <conditionalFormatting sqref="A6:A106">
    <cfRule type="expression" dxfId="18" priority="7">
      <formula>"$A6&gt;DashBoard!$B$2"</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56" id="{3602375A-DE77-4F7A-8F32-AA1CCDDC7409}">
            <xm:f>$A5&gt;DashBoard!$K$6</xm:f>
            <x14:dxf>
              <font>
                <color theme="0"/>
              </font>
            </x14:dxf>
          </x14:cfRule>
          <xm:sqref>A5:AJ106</xm:sqref>
        </x14:conditionalFormatting>
        <x14:conditionalFormatting xmlns:xm="http://schemas.microsoft.com/office/excel/2006/main">
          <x14:cfRule type="expression" priority="160" id="{15CC2E1B-7D40-4CDF-A96E-4C3C13C77911}">
            <xm:f>$A6&gt;DashBoard!$K$6</xm:f>
            <x14:dxf>
              <font>
                <color theme="0"/>
              </font>
            </x14:dxf>
          </x14:cfRule>
          <xm:sqref>S6:AE6</xm:sqref>
        </x14:conditionalFormatting>
        <x14:conditionalFormatting xmlns:xm="http://schemas.microsoft.com/office/excel/2006/main">
          <x14:cfRule type="expression" priority="162" id="{AE816975-8255-4B8C-9529-13B27DF470D8}">
            <xm:f>$A7&gt;DashBoard!$K$6</xm:f>
            <x14:dxf>
              <font>
                <color theme="4" tint="0.59996337778862885"/>
              </font>
            </x14:dxf>
          </x14:cfRule>
          <xm:sqref>S7:AA106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BA106"/>
  <sheetViews>
    <sheetView topLeftCell="V1" workbookViewId="0">
      <selection activeCell="AP21" sqref="AP21"/>
    </sheetView>
  </sheetViews>
  <sheetFormatPr defaultColWidth="8.81640625" defaultRowHeight="14.5"/>
  <cols>
    <col min="1" max="1" width="13.54296875" style="4" hidden="1" customWidth="1"/>
    <col min="2" max="4" width="12" style="4" hidden="1" customWidth="1"/>
    <col min="5" max="5" width="15.54296875" style="4" hidden="1" customWidth="1"/>
    <col min="6" max="6" width="13.26953125" style="4" hidden="1" customWidth="1"/>
    <col min="7" max="7" width="13.7265625" style="4" hidden="1" customWidth="1"/>
    <col min="8" max="8" width="15.26953125" style="4" hidden="1" customWidth="1"/>
    <col min="9" max="9" width="13.7265625" style="4" hidden="1" customWidth="1"/>
    <col min="10" max="10" width="6.81640625" style="4" hidden="1" customWidth="1"/>
    <col min="11" max="20" width="8.81640625" style="4" hidden="1" customWidth="1"/>
    <col min="21" max="21" width="0" style="4" hidden="1" customWidth="1"/>
    <col min="22" max="23" width="8.81640625" style="4"/>
    <col min="24" max="24" width="7.81640625" style="4" customWidth="1"/>
    <col min="25" max="25" width="7.26953125" style="4" customWidth="1"/>
    <col min="26" max="26" width="6.81640625" style="4" customWidth="1"/>
    <col min="27" max="27" width="6.26953125" style="4" customWidth="1"/>
    <col min="28" max="28" width="7.7265625" style="4" customWidth="1"/>
    <col min="29" max="29" width="6.54296875" style="4" customWidth="1"/>
    <col min="30" max="30" width="8.81640625" style="4"/>
    <col min="31" max="31" width="6.7265625" style="4" customWidth="1"/>
    <col min="32" max="32" width="7.54296875" style="4" customWidth="1"/>
    <col min="33" max="33" width="8.1796875" style="4" customWidth="1"/>
    <col min="34" max="34" width="6.453125" style="4" customWidth="1"/>
    <col min="35" max="35" width="6.54296875" style="4" customWidth="1"/>
    <col min="36" max="36" width="9.1796875" style="4" customWidth="1"/>
    <col min="37" max="37" width="7.1796875" style="4" customWidth="1"/>
    <col min="38" max="38" width="8.81640625" style="4" customWidth="1"/>
    <col min="39" max="39" width="7.26953125" style="4" customWidth="1"/>
    <col min="40" max="40" width="7.81640625" style="4" customWidth="1"/>
    <col min="41" max="41" width="8.54296875" style="4" customWidth="1"/>
    <col min="42" max="42" width="9" style="4" customWidth="1"/>
    <col min="43" max="43" width="14.1796875" style="4" customWidth="1"/>
    <col min="44" max="47" width="0" style="4" hidden="1" customWidth="1"/>
    <col min="48" max="16384" width="8.81640625" style="4"/>
  </cols>
  <sheetData>
    <row r="1" spans="1:53">
      <c r="X1" s="4" t="s">
        <v>1</v>
      </c>
      <c r="AB1" s="4" t="s">
        <v>13</v>
      </c>
      <c r="AF1" s="4" t="s">
        <v>2</v>
      </c>
      <c r="AJ1" s="4" t="s">
        <v>320</v>
      </c>
      <c r="AN1" s="4" t="s">
        <v>321</v>
      </c>
      <c r="AR1" s="4" t="s">
        <v>82</v>
      </c>
      <c r="AV1" s="4" t="s">
        <v>155</v>
      </c>
    </row>
    <row r="2" spans="1:53">
      <c r="B2" s="4" t="s">
        <v>9</v>
      </c>
      <c r="V2" s="4" t="s">
        <v>353</v>
      </c>
      <c r="W2" s="4" t="s">
        <v>354</v>
      </c>
      <c r="X2" s="4" t="s">
        <v>10</v>
      </c>
      <c r="Y2" s="4" t="s">
        <v>11</v>
      </c>
      <c r="Z2" s="4" t="s">
        <v>12</v>
      </c>
      <c r="AA2" s="4" t="s">
        <v>14</v>
      </c>
      <c r="AB2" s="4" t="s">
        <v>10</v>
      </c>
      <c r="AC2" s="4" t="s">
        <v>11</v>
      </c>
      <c r="AD2" s="4" t="s">
        <v>12</v>
      </c>
      <c r="AE2" s="4" t="s">
        <v>14</v>
      </c>
      <c r="AF2" s="4" t="s">
        <v>10</v>
      </c>
      <c r="AG2" s="4" t="s">
        <v>11</v>
      </c>
      <c r="AH2" s="4" t="s">
        <v>12</v>
      </c>
      <c r="AI2" s="4" t="s">
        <v>14</v>
      </c>
      <c r="AJ2" s="4" t="s">
        <v>10</v>
      </c>
      <c r="AK2" s="4" t="s">
        <v>11</v>
      </c>
      <c r="AL2" s="4" t="s">
        <v>12</v>
      </c>
      <c r="AM2" s="4" t="s">
        <v>14</v>
      </c>
      <c r="AN2" s="4" t="s">
        <v>10</v>
      </c>
      <c r="AO2" s="4" t="s">
        <v>11</v>
      </c>
      <c r="AP2" s="4" t="s">
        <v>12</v>
      </c>
      <c r="AQ2" s="4" t="s">
        <v>14</v>
      </c>
      <c r="AR2" s="4" t="s">
        <v>10</v>
      </c>
      <c r="AS2" s="4" t="s">
        <v>11</v>
      </c>
      <c r="AT2" s="4" t="s">
        <v>12</v>
      </c>
      <c r="AU2" s="4" t="s">
        <v>14</v>
      </c>
      <c r="AV2" s="4" t="s">
        <v>10</v>
      </c>
      <c r="AW2" s="4" t="s">
        <v>11</v>
      </c>
      <c r="AX2" s="4" t="s">
        <v>12</v>
      </c>
      <c r="AY2" s="4" t="s">
        <v>14</v>
      </c>
    </row>
    <row r="3" spans="1:53">
      <c r="V3" s="4" t="s">
        <v>312</v>
      </c>
      <c r="W3" s="4" t="s">
        <v>312</v>
      </c>
      <c r="AB3" s="4" t="s">
        <v>0</v>
      </c>
      <c r="AC3" s="4" t="s">
        <v>0</v>
      </c>
      <c r="AD3" s="4" t="s">
        <v>0</v>
      </c>
    </row>
    <row r="4" spans="1:53">
      <c r="A4" s="4" t="s">
        <v>5</v>
      </c>
      <c r="B4" s="4" t="s">
        <v>1</v>
      </c>
      <c r="C4" s="4" t="s">
        <v>16</v>
      </c>
      <c r="D4" s="4" t="s">
        <v>17</v>
      </c>
      <c r="E4" s="4" t="s">
        <v>2</v>
      </c>
      <c r="F4" s="4" t="s">
        <v>320</v>
      </c>
      <c r="G4" s="4" t="s">
        <v>321</v>
      </c>
      <c r="H4" s="4" t="s">
        <v>352</v>
      </c>
      <c r="I4" s="4" t="s">
        <v>156</v>
      </c>
      <c r="J4" s="4" t="s">
        <v>15</v>
      </c>
      <c r="K4" s="4">
        <v>1</v>
      </c>
      <c r="L4" s="4">
        <v>2</v>
      </c>
      <c r="M4" s="4">
        <v>3</v>
      </c>
      <c r="N4" s="4">
        <v>4</v>
      </c>
      <c r="O4" s="4">
        <v>5</v>
      </c>
      <c r="P4" s="4">
        <v>6</v>
      </c>
      <c r="Q4" s="4">
        <v>7</v>
      </c>
      <c r="R4" s="4">
        <v>8</v>
      </c>
      <c r="S4" s="4">
        <v>9</v>
      </c>
      <c r="T4" s="4">
        <v>10</v>
      </c>
      <c r="V4" s="4">
        <v>0.01</v>
      </c>
      <c r="W4" s="4">
        <v>0.1</v>
      </c>
      <c r="X4" s="4">
        <v>16</v>
      </c>
      <c r="Y4" s="4">
        <v>-100</v>
      </c>
      <c r="Z4" s="4">
        <v>-100</v>
      </c>
      <c r="AA4" s="4">
        <f>CHOOSE(Preamp_DataType,0,'7227'!X4,'7227'!Y4,'7227'!Z4,0,0)</f>
        <v>-100</v>
      </c>
      <c r="AB4" s="4">
        <v>0</v>
      </c>
      <c r="AC4" s="4">
        <v>0</v>
      </c>
      <c r="AD4" s="4">
        <v>0</v>
      </c>
      <c r="AE4" s="4">
        <f>CHOOSE(Preamp_DataType,0,'7227'!AB4,'7227'!AC4,'7227'!AD4,0,0)</f>
        <v>0</v>
      </c>
      <c r="AF4" s="4">
        <v>5.5</v>
      </c>
      <c r="AG4" s="4">
        <v>6</v>
      </c>
      <c r="AH4" s="4">
        <v>0</v>
      </c>
      <c r="AI4" s="4">
        <f>CHOOSE(Preamp_DataType,0,'7227'!AF4,'7227'!AG4,'7227'!AH4,0,0)</f>
        <v>6</v>
      </c>
      <c r="AJ4" s="4">
        <v>-5</v>
      </c>
      <c r="AK4" s="4">
        <v>0</v>
      </c>
      <c r="AL4" s="4">
        <v>0</v>
      </c>
      <c r="AM4" s="4">
        <f>CHOOSE(Preamp_DataType,0,'7227'!AJ4,'7227'!AK4,'7227'!AL4,0,0)</f>
        <v>0</v>
      </c>
      <c r="AN4" s="4">
        <v>-18</v>
      </c>
      <c r="AO4" s="4">
        <v>0</v>
      </c>
      <c r="AP4" s="4">
        <v>0</v>
      </c>
      <c r="AQ4" s="4">
        <f>CHOOSE(Preamp_DataType,0,'7227'!AN4,'7227'!AO4,'7227'!AP4,0,0)</f>
        <v>0</v>
      </c>
      <c r="AR4" s="4">
        <v>0.2</v>
      </c>
      <c r="AS4" s="4">
        <v>0</v>
      </c>
      <c r="AT4" s="4">
        <v>0</v>
      </c>
      <c r="AU4" s="4">
        <f>CHOOSE(Preamp_DataType,0,'7227'!AR4,'7227'!AS4,'7227'!AT4,0,0)</f>
        <v>0</v>
      </c>
      <c r="AV4" s="4">
        <v>7</v>
      </c>
      <c r="AW4" s="4">
        <v>6</v>
      </c>
      <c r="AX4" s="4">
        <v>7</v>
      </c>
      <c r="AY4" s="4">
        <f>CHOOSE(Preamp_DataType,0,'7227'!AV4,'7227'!AW4,'7227'!AX4,0,0)</f>
        <v>6</v>
      </c>
      <c r="AZ4" s="4">
        <v>0.01</v>
      </c>
      <c r="BA4" s="4">
        <v>0.1</v>
      </c>
    </row>
    <row r="5" spans="1:53">
      <c r="A5" s="4">
        <f>StartFreqGHz</f>
        <v>0.1</v>
      </c>
      <c r="B5" s="4">
        <f>C5+A5*D5</f>
        <v>16.126000000000001</v>
      </c>
      <c r="C5" s="4">
        <f>CHOOSE($J5,$AA$4,$AA$5,$AA$6,$AA$7,$AA$8,$AA$9,$AA$10,$AA$11,$AA$12,$AA$13)</f>
        <v>16.100000000000001</v>
      </c>
      <c r="D5" s="4">
        <f>CHOOSE($J5,$AE$4,$AE$5,$AE$6,$AE$7,$AE$8,$AE$9,$AE$10,$AE$11,$AE$12,$AE$13)</f>
        <v>0.26</v>
      </c>
      <c r="E5" s="4">
        <f>CHOOSE($J5,$AI$4,$AI$5,$AI$6,$AI$7,$AI$8,$AI$9,$AI$10,$AI$11,$AI$12,$AI$13)</f>
        <v>6</v>
      </c>
      <c r="F5" s="4">
        <f>CHOOSE($J5,$AM$4,$AM$5,$AM$6,$AM$7,$AM$8,$AM$9,$AM$10,$AM$11,$AM$12,$AM$13)</f>
        <v>-15</v>
      </c>
      <c r="G5" s="4">
        <f>CHOOSE($J5,$AQ$4,$AQ$5,$AQ$6,$AQ$7,$AQ$8,$AQ$9,$AQ$10,$AQ$11,$AQ$12,$AQ$13)</f>
        <v>-18</v>
      </c>
      <c r="H5" s="4">
        <f>CHOOSE($J5,$AU$4,$AU$5,$AU$6,$AU$7,$AU$8,$AU$9,$AU$10,$AU$11,$AU$12,$AU$13)</f>
        <v>0.35</v>
      </c>
      <c r="I5" s="4">
        <f>CHOOSE($J5,$AY$4,$AY$5,$AY$6,$AY$7,$AY$8,$AY$9,$AY$10,$AY$11,$AY$12,$AY$13)</f>
        <v>6</v>
      </c>
      <c r="J5" s="4">
        <f>SUM(K5:T5)</f>
        <v>2</v>
      </c>
      <c r="K5" s="4">
        <f>1*AND($A5&gt;=$V$4,$A5&lt;$W$4)</f>
        <v>0</v>
      </c>
      <c r="L5" s="4">
        <f>2*AND($A5&gt;=$V$5,$A5&lt;$W$5)</f>
        <v>2</v>
      </c>
      <c r="M5" s="4">
        <f>3*AND($A5&gt;=$V$6,$A5&lt;$W$6)</f>
        <v>0</v>
      </c>
      <c r="N5" s="4">
        <f>4*AND($A5&gt;=$V$7,$A5&lt;$W$7)</f>
        <v>0</v>
      </c>
      <c r="O5" s="4">
        <f>5*AND($A5&gt;=$V$8,$A5&lt;$W$8)</f>
        <v>0</v>
      </c>
      <c r="P5" s="4">
        <f>6*AND($A5&gt;=$V$9,$A5&lt;$W$9)</f>
        <v>0</v>
      </c>
      <c r="Q5" s="4">
        <f>7*AND($A5&gt;=$V$10,$A5&lt;$W$10)</f>
        <v>0</v>
      </c>
      <c r="R5" s="4">
        <f>8*AND($A5&gt;=$V$11,$A5&lt;$W$11)</f>
        <v>0</v>
      </c>
      <c r="S5" s="4">
        <f>9*AND($A5&gt;=$V$12,$A5&lt;$W$12)</f>
        <v>0</v>
      </c>
      <c r="T5" s="4">
        <f>10*AND($A5&gt;=$V$13,$A5&lt;$W$13)</f>
        <v>0</v>
      </c>
      <c r="V5" s="4">
        <v>0.1</v>
      </c>
      <c r="W5" s="4">
        <v>2</v>
      </c>
      <c r="X5" s="4">
        <v>17</v>
      </c>
      <c r="Y5" s="4">
        <v>16.100000000000001</v>
      </c>
      <c r="Z5" s="4">
        <v>-100</v>
      </c>
      <c r="AA5" s="4">
        <f>CHOOSE(Preamp_DataType,0,'7227'!X5,'7227'!Y5,'7227'!Z5,0,0)</f>
        <v>16.100000000000001</v>
      </c>
      <c r="AB5" s="4">
        <v>0.5</v>
      </c>
      <c r="AC5" s="4">
        <v>0.26</v>
      </c>
      <c r="AD5" s="4">
        <v>0</v>
      </c>
      <c r="AE5" s="4">
        <f>CHOOSE(Preamp_DataType,0,'7227'!AB5,'7227'!AC5,'7227'!AD5,0,0)</f>
        <v>0.26</v>
      </c>
      <c r="AF5" s="4">
        <v>5</v>
      </c>
      <c r="AG5" s="4">
        <v>6</v>
      </c>
      <c r="AH5" s="4">
        <v>0</v>
      </c>
      <c r="AI5" s="4">
        <f>CHOOSE(Preamp_DataType,0,'7227'!AF5,'7227'!AG5,'7227'!AH5,0,0)</f>
        <v>6</v>
      </c>
      <c r="AJ5" s="4">
        <v>-13.5</v>
      </c>
      <c r="AK5" s="4">
        <v>-15</v>
      </c>
      <c r="AL5" s="4">
        <v>0</v>
      </c>
      <c r="AM5" s="4">
        <f>CHOOSE(Preamp_DataType,0,'7227'!AJ5,'7227'!AK5,'7227'!AL5,0,0)</f>
        <v>-15</v>
      </c>
      <c r="AN5" s="4">
        <v>-18</v>
      </c>
      <c r="AO5" s="4">
        <v>-18</v>
      </c>
      <c r="AP5" s="4">
        <v>0</v>
      </c>
      <c r="AQ5" s="4">
        <f>CHOOSE(Preamp_DataType,0,'7227'!AN5,'7227'!AO5,'7227'!AP5,0,0)</f>
        <v>-18</v>
      </c>
      <c r="AR5" s="4">
        <v>0.2</v>
      </c>
      <c r="AS5" s="4">
        <v>0.35</v>
      </c>
      <c r="AT5" s="4">
        <v>0</v>
      </c>
      <c r="AU5" s="4">
        <f>CHOOSE(Preamp_DataType,0,'7227'!AR5,'7227'!AS5,'7227'!AT5,0,0)</f>
        <v>0.35</v>
      </c>
      <c r="AV5" s="4">
        <v>7</v>
      </c>
      <c r="AW5" s="4">
        <v>6</v>
      </c>
      <c r="AX5" s="4">
        <v>7</v>
      </c>
      <c r="AY5" s="4">
        <f>CHOOSE(Preamp_DataType,0,'7227'!AV5,'7227'!AW5,'7227'!AX5,0,0)</f>
        <v>6</v>
      </c>
      <c r="AZ5" s="4">
        <v>0.1</v>
      </c>
      <c r="BA5" s="4">
        <v>2</v>
      </c>
    </row>
    <row r="6" spans="1:53">
      <c r="A6" s="4">
        <f>MIN(StopFreqGHz+0.000001,'7227'!A5+FreqStep)</f>
        <v>0.628</v>
      </c>
      <c r="B6" s="4">
        <f t="shared" ref="B6:B15" si="0">C6+A6*D6</f>
        <v>16.263280000000002</v>
      </c>
      <c r="C6" s="4">
        <f t="shared" ref="C6:C69" si="1">CHOOSE($J6,$AA$4,$AA$5,$AA$6,$AA$7,$AA$8,$AA$9,$AA$10,$AA$11,$AA$12,$AA$13)</f>
        <v>16.100000000000001</v>
      </c>
      <c r="D6" s="4">
        <f t="shared" ref="D6:D69" si="2">CHOOSE($J6,$AE$4,$AE$5,$AE$6,$AE$7,$AE$8,$AE$9,$AE$10,$AE$11,$AE$12,$AE$13)</f>
        <v>0.26</v>
      </c>
      <c r="E6" s="4">
        <f t="shared" ref="E6:E69" si="3">CHOOSE($J6,$AI$4,$AI$5,$AI$6,$AI$7,$AI$8,$AI$9,$AI$10,$AI$11,$AI$12,$AI$13)</f>
        <v>6</v>
      </c>
      <c r="F6" s="4">
        <f t="shared" ref="F6:F69" si="4">CHOOSE($J6,$AM$4,$AM$5,$AM$6,$AM$7,$AM$8,$AM$9,$AM$10,$AM$11,$AM$12,$AM$13)</f>
        <v>-15</v>
      </c>
      <c r="G6" s="4">
        <f t="shared" ref="G6:G69" si="5">CHOOSE($J6,$AQ$4,$AQ$5,$AQ$6,$AQ$7,$AQ$8,$AQ$9,$AQ$10,$AQ$11,$AQ$12,$AQ$13)</f>
        <v>-18</v>
      </c>
      <c r="H6" s="4">
        <f t="shared" ref="H6:H69" si="6">CHOOSE($J6,$AU$4,$AU$5,$AU$6,$AU$7,$AU$8,$AU$9,$AU$10,$AU$11,$AU$12,$AU$13)</f>
        <v>0.35</v>
      </c>
      <c r="I6" s="4">
        <f t="shared" ref="I6:I69" si="7">CHOOSE($J6,$AY$4,$AY$5,$AY$6,$AY$7,$AY$8,$AY$9,$AY$10,$AY$11,$AY$12,$AY$13)</f>
        <v>6</v>
      </c>
      <c r="J6" s="4">
        <f t="shared" ref="J6:J15" si="8">SUM(K6:T6)</f>
        <v>2</v>
      </c>
      <c r="K6" s="4">
        <f t="shared" ref="K6:K69" si="9">1*AND($A6&gt;=$V$4,$A6&lt;$W$4)</f>
        <v>0</v>
      </c>
      <c r="L6" s="4">
        <f t="shared" ref="L6:L69" si="10">2*AND($A6&gt;=$V$5,$A6&lt;$W$5)</f>
        <v>2</v>
      </c>
      <c r="M6" s="4">
        <f t="shared" ref="M6:M69" si="11">3*AND($A6&gt;=$V$6,$A6&lt;$W$6)</f>
        <v>0</v>
      </c>
      <c r="N6" s="4">
        <f t="shared" ref="N6:N69" si="12">4*AND($A6&gt;=$V$7,$A6&lt;$W$7)</f>
        <v>0</v>
      </c>
      <c r="O6" s="4">
        <f t="shared" ref="O6:O69" si="13">5*AND($A6&gt;=$V$8,$A6&lt;$W$8)</f>
        <v>0</v>
      </c>
      <c r="P6" s="4">
        <f t="shared" ref="P6:P69" si="14">6*AND($A6&gt;=$V$9,$A6&lt;$W$9)</f>
        <v>0</v>
      </c>
      <c r="Q6" s="4">
        <f t="shared" ref="Q6:Q69" si="15">7*AND($A6&gt;=$V$10,$A6&lt;$W$10)</f>
        <v>0</v>
      </c>
      <c r="R6" s="4">
        <f t="shared" ref="R6:R69" si="16">8*AND($A6&gt;=$V$11,$A6&lt;$W$11)</f>
        <v>0</v>
      </c>
      <c r="S6" s="4">
        <f t="shared" ref="S6:S69" si="17">9*AND($A6&gt;=$V$12,$A6&lt;$W$12)</f>
        <v>0</v>
      </c>
      <c r="T6" s="4">
        <f t="shared" ref="T6:T69" si="18">10*AND($A6&gt;=$V$13,$A6&lt;$W$13)</f>
        <v>0</v>
      </c>
      <c r="V6" s="4">
        <v>2</v>
      </c>
      <c r="W6" s="4">
        <v>3</v>
      </c>
      <c r="X6" s="4">
        <v>17</v>
      </c>
      <c r="Y6" s="4">
        <v>16.100000000000001</v>
      </c>
      <c r="Z6" s="4">
        <v>16.5</v>
      </c>
      <c r="AA6" s="4">
        <f>CHOOSE(Preamp_DataType,0,'7227'!X6,'7227'!Y6,'7227'!Z6,0,0)</f>
        <v>16.100000000000001</v>
      </c>
      <c r="AB6" s="4">
        <v>0.5</v>
      </c>
      <c r="AC6" s="4">
        <v>0.26</v>
      </c>
      <c r="AD6" s="4">
        <v>0.23</v>
      </c>
      <c r="AE6" s="4">
        <f>CHOOSE(Preamp_DataType,0,'7227'!AB6,'7227'!AC6,'7227'!AD6,0,0)</f>
        <v>0.26</v>
      </c>
      <c r="AF6" s="4">
        <v>5</v>
      </c>
      <c r="AG6" s="4">
        <v>6</v>
      </c>
      <c r="AH6" s="4">
        <v>10</v>
      </c>
      <c r="AI6" s="4">
        <f>CHOOSE(Preamp_DataType,0,'7227'!AF6,'7227'!AG6,'7227'!AH6,0,0)</f>
        <v>6</v>
      </c>
      <c r="AJ6" s="4">
        <v>-11.5</v>
      </c>
      <c r="AK6" s="4">
        <v>-15</v>
      </c>
      <c r="AL6" s="4">
        <v>-8</v>
      </c>
      <c r="AM6" s="4">
        <f>CHOOSE(Preamp_DataType,0,'7227'!AJ6,'7227'!AK6,'7227'!AL6,0,0)</f>
        <v>-15</v>
      </c>
      <c r="AN6" s="4">
        <v>-18</v>
      </c>
      <c r="AO6" s="4">
        <v>-18</v>
      </c>
      <c r="AP6" s="4">
        <v>-18</v>
      </c>
      <c r="AQ6" s="4">
        <f>CHOOSE(Preamp_DataType,0,'7227'!AN6,'7227'!AO6,'7227'!AP6,0,0)</f>
        <v>-18</v>
      </c>
      <c r="AR6" s="4">
        <v>0.2</v>
      </c>
      <c r="AS6" s="4">
        <v>0.35</v>
      </c>
      <c r="AT6" s="4">
        <v>0.25</v>
      </c>
      <c r="AU6" s="4">
        <f>CHOOSE(Preamp_DataType,0,'7227'!AR6,'7227'!AS6,'7227'!AT6,0,0)</f>
        <v>0.35</v>
      </c>
      <c r="AV6" s="4">
        <v>6</v>
      </c>
      <c r="AW6" s="4">
        <v>6</v>
      </c>
      <c r="AX6" s="4">
        <v>7</v>
      </c>
      <c r="AY6" s="4">
        <f>CHOOSE(Preamp_DataType,0,'7227'!AV6,'7227'!AW6,'7227'!AX6,0,0)</f>
        <v>6</v>
      </c>
      <c r="AZ6" s="4">
        <v>2</v>
      </c>
      <c r="BA6" s="4">
        <v>3</v>
      </c>
    </row>
    <row r="7" spans="1:53">
      <c r="A7" s="4">
        <f>MIN(StopFreqGHz+0.000001,'7227'!A6+FreqStep)</f>
        <v>1.1560000000000001</v>
      </c>
      <c r="B7" s="4">
        <f t="shared" si="0"/>
        <v>16.400560000000002</v>
      </c>
      <c r="C7" s="4">
        <f t="shared" si="1"/>
        <v>16.100000000000001</v>
      </c>
      <c r="D7" s="4">
        <f t="shared" si="2"/>
        <v>0.26</v>
      </c>
      <c r="E7" s="4">
        <f t="shared" si="3"/>
        <v>6</v>
      </c>
      <c r="F7" s="4">
        <f t="shared" si="4"/>
        <v>-15</v>
      </c>
      <c r="G7" s="4">
        <f t="shared" si="5"/>
        <v>-18</v>
      </c>
      <c r="H7" s="4">
        <f t="shared" si="6"/>
        <v>0.35</v>
      </c>
      <c r="I7" s="4">
        <f t="shared" si="7"/>
        <v>6</v>
      </c>
      <c r="J7" s="4">
        <f t="shared" si="8"/>
        <v>2</v>
      </c>
      <c r="K7" s="4">
        <f t="shared" si="9"/>
        <v>0</v>
      </c>
      <c r="L7" s="4">
        <f t="shared" si="10"/>
        <v>2</v>
      </c>
      <c r="M7" s="4">
        <f t="shared" si="11"/>
        <v>0</v>
      </c>
      <c r="N7" s="4">
        <f t="shared" si="12"/>
        <v>0</v>
      </c>
      <c r="O7" s="4">
        <f t="shared" si="13"/>
        <v>0</v>
      </c>
      <c r="P7" s="4">
        <f t="shared" si="14"/>
        <v>0</v>
      </c>
      <c r="Q7" s="4">
        <f t="shared" si="15"/>
        <v>0</v>
      </c>
      <c r="R7" s="4">
        <f t="shared" si="16"/>
        <v>0</v>
      </c>
      <c r="S7" s="4">
        <f t="shared" si="17"/>
        <v>0</v>
      </c>
      <c r="T7" s="4">
        <f t="shared" si="18"/>
        <v>0</v>
      </c>
      <c r="V7" s="4">
        <v>3</v>
      </c>
      <c r="W7" s="4">
        <v>4.0010000000000003</v>
      </c>
      <c r="X7" s="4">
        <v>17</v>
      </c>
      <c r="Y7" s="4">
        <v>16.100000000000001</v>
      </c>
      <c r="Z7" s="4">
        <v>16.5</v>
      </c>
      <c r="AA7" s="4">
        <f>CHOOSE(Preamp_DataType,0,'7227'!X7,'7227'!Y7,'7227'!Z7,0,0)</f>
        <v>16.100000000000001</v>
      </c>
      <c r="AB7" s="4">
        <v>0.5</v>
      </c>
      <c r="AC7" s="4">
        <v>0.26</v>
      </c>
      <c r="AD7" s="4">
        <v>0.23</v>
      </c>
      <c r="AE7" s="4">
        <f>CHOOSE(Preamp_DataType,0,'7227'!AB7,'7227'!AC7,'7227'!AD7,0,0)</f>
        <v>0.26</v>
      </c>
      <c r="AF7" s="4">
        <v>5</v>
      </c>
      <c r="AG7" s="4">
        <v>6</v>
      </c>
      <c r="AH7" s="4">
        <v>10</v>
      </c>
      <c r="AI7" s="4">
        <f>CHOOSE(Preamp_DataType,0,'7227'!AF7,'7227'!AG7,'7227'!AH7,0,0)</f>
        <v>6</v>
      </c>
      <c r="AJ7" s="4">
        <v>-10</v>
      </c>
      <c r="AK7" s="4">
        <v>-15</v>
      </c>
      <c r="AL7" s="4">
        <v>-8</v>
      </c>
      <c r="AM7" s="4">
        <f>CHOOSE(Preamp_DataType,0,'7227'!AJ7,'7227'!AK7,'7227'!AL7,0,0)</f>
        <v>-15</v>
      </c>
      <c r="AN7" s="4">
        <v>-18</v>
      </c>
      <c r="AO7" s="4">
        <v>-18</v>
      </c>
      <c r="AP7" s="4">
        <v>-18</v>
      </c>
      <c r="AQ7" s="4">
        <f>CHOOSE(Preamp_DataType,0,'7227'!AN7,'7227'!AO7,'7227'!AP7,0,0)</f>
        <v>-18</v>
      </c>
      <c r="AR7" s="4">
        <v>0.25</v>
      </c>
      <c r="AS7" s="4">
        <v>0.35</v>
      </c>
      <c r="AT7" s="4">
        <v>0.25</v>
      </c>
      <c r="AU7" s="4">
        <f>CHOOSE(Preamp_DataType,0,'7227'!AR7,'7227'!AS7,'7227'!AT7,0,0)</f>
        <v>0.35</v>
      </c>
      <c r="AV7" s="4">
        <v>5</v>
      </c>
      <c r="AW7" s="4">
        <v>6</v>
      </c>
      <c r="AX7" s="4">
        <v>7</v>
      </c>
      <c r="AY7" s="4">
        <f>CHOOSE(Preamp_DataType,0,'7227'!AV7,'7227'!AW7,'7227'!AX7,0,0)</f>
        <v>6</v>
      </c>
      <c r="AZ7" s="4">
        <v>3</v>
      </c>
      <c r="BA7" s="4">
        <v>4</v>
      </c>
    </row>
    <row r="8" spans="1:53">
      <c r="A8" s="4">
        <f>MIN(StopFreqGHz+0.000001,'7227'!A7+FreqStep)</f>
        <v>1.6840000000000002</v>
      </c>
      <c r="B8" s="4">
        <f t="shared" si="0"/>
        <v>16.537840000000003</v>
      </c>
      <c r="C8" s="4">
        <f t="shared" si="1"/>
        <v>16.100000000000001</v>
      </c>
      <c r="D8" s="4">
        <f t="shared" si="2"/>
        <v>0.26</v>
      </c>
      <c r="E8" s="4">
        <f t="shared" si="3"/>
        <v>6</v>
      </c>
      <c r="F8" s="4">
        <f t="shared" si="4"/>
        <v>-15</v>
      </c>
      <c r="G8" s="4">
        <f t="shared" si="5"/>
        <v>-18</v>
      </c>
      <c r="H8" s="4">
        <f t="shared" si="6"/>
        <v>0.35</v>
      </c>
      <c r="I8" s="4">
        <f t="shared" si="7"/>
        <v>6</v>
      </c>
      <c r="J8" s="4">
        <f t="shared" si="8"/>
        <v>2</v>
      </c>
      <c r="K8" s="4">
        <f t="shared" si="9"/>
        <v>0</v>
      </c>
      <c r="L8" s="4">
        <f t="shared" si="10"/>
        <v>2</v>
      </c>
      <c r="M8" s="4">
        <f t="shared" si="11"/>
        <v>0</v>
      </c>
      <c r="N8" s="4">
        <f t="shared" si="12"/>
        <v>0</v>
      </c>
      <c r="O8" s="4">
        <f t="shared" si="13"/>
        <v>0</v>
      </c>
      <c r="P8" s="4">
        <f t="shared" si="14"/>
        <v>0</v>
      </c>
      <c r="Q8" s="4">
        <f t="shared" si="15"/>
        <v>0</v>
      </c>
      <c r="R8" s="4">
        <f t="shared" si="16"/>
        <v>0</v>
      </c>
      <c r="S8" s="4">
        <f t="shared" si="17"/>
        <v>0</v>
      </c>
      <c r="T8" s="4">
        <f t="shared" si="18"/>
        <v>0</v>
      </c>
      <c r="V8" s="4">
        <v>4.0010000000000003</v>
      </c>
      <c r="W8" s="4">
        <v>6</v>
      </c>
      <c r="X8" s="4">
        <v>-100</v>
      </c>
      <c r="Y8" s="4">
        <v>16.100000000000001</v>
      </c>
      <c r="Z8" s="4">
        <v>16.5</v>
      </c>
      <c r="AA8" s="4">
        <f>CHOOSE(Preamp_DataType,0,'7227'!X8,'7227'!Y8,'7227'!Z8,0,0)</f>
        <v>16.100000000000001</v>
      </c>
      <c r="AB8" s="4">
        <v>0</v>
      </c>
      <c r="AC8" s="4">
        <v>0.26</v>
      </c>
      <c r="AD8" s="4">
        <v>0.23</v>
      </c>
      <c r="AE8" s="4">
        <f>CHOOSE(Preamp_DataType,0,'7227'!AB8,'7227'!AC8,'7227'!AD8,0,0)</f>
        <v>0.26</v>
      </c>
      <c r="AF8" s="4">
        <v>0</v>
      </c>
      <c r="AG8" s="4">
        <v>5</v>
      </c>
      <c r="AH8" s="4">
        <v>8</v>
      </c>
      <c r="AI8" s="4">
        <f>CHOOSE(Preamp_DataType,0,'7227'!AF8,'7227'!AG8,'7227'!AH8,0,0)</f>
        <v>5</v>
      </c>
      <c r="AJ8" s="4">
        <v>0</v>
      </c>
      <c r="AK8" s="4">
        <v>-8</v>
      </c>
      <c r="AL8" s="4">
        <v>-8</v>
      </c>
      <c r="AM8" s="4">
        <f>CHOOSE(Preamp_DataType,0,'7227'!AJ8,'7227'!AK8,'7227'!AL8,0,0)</f>
        <v>-8</v>
      </c>
      <c r="AN8" s="4">
        <v>0</v>
      </c>
      <c r="AO8" s="4">
        <v>-11</v>
      </c>
      <c r="AP8" s="4">
        <v>-11</v>
      </c>
      <c r="AQ8" s="4">
        <f>CHOOSE(Preamp_DataType,0,'7227'!AN8,'7227'!AO8,'7227'!AP8,0,0)</f>
        <v>-11</v>
      </c>
      <c r="AR8" s="4">
        <v>0</v>
      </c>
      <c r="AS8" s="4">
        <v>0.35</v>
      </c>
      <c r="AT8" s="4">
        <v>0.22</v>
      </c>
      <c r="AU8" s="4">
        <f>CHOOSE(Preamp_DataType,0,'7227'!AR8,'7227'!AS8,'7227'!AT8,0,0)</f>
        <v>0.35</v>
      </c>
      <c r="AV8" s="4">
        <v>5</v>
      </c>
      <c r="AW8" s="4">
        <v>8</v>
      </c>
      <c r="AX8" s="4">
        <v>6</v>
      </c>
      <c r="AY8" s="4">
        <f>CHOOSE(Preamp_DataType,0,'7227'!AV8,'7227'!AW8,'7227'!AX8,0,0)</f>
        <v>8</v>
      </c>
      <c r="AZ8" s="4">
        <v>4</v>
      </c>
      <c r="BA8" s="4">
        <v>6</v>
      </c>
    </row>
    <row r="9" spans="1:53">
      <c r="A9" s="4">
        <f>MIN(StopFreqGHz+0.000001,'7227'!A8+FreqStep)</f>
        <v>2.2120000000000002</v>
      </c>
      <c r="B9" s="4">
        <f t="shared" si="0"/>
        <v>16.67512</v>
      </c>
      <c r="C9" s="4">
        <f t="shared" si="1"/>
        <v>16.100000000000001</v>
      </c>
      <c r="D9" s="4">
        <f t="shared" si="2"/>
        <v>0.26</v>
      </c>
      <c r="E9" s="4">
        <f t="shared" si="3"/>
        <v>6</v>
      </c>
      <c r="F9" s="4">
        <f t="shared" si="4"/>
        <v>-15</v>
      </c>
      <c r="G9" s="4">
        <f t="shared" si="5"/>
        <v>-18</v>
      </c>
      <c r="H9" s="4">
        <f t="shared" si="6"/>
        <v>0.35</v>
      </c>
      <c r="I9" s="4">
        <f t="shared" si="7"/>
        <v>6</v>
      </c>
      <c r="J9" s="4">
        <f t="shared" si="8"/>
        <v>3</v>
      </c>
      <c r="K9" s="4">
        <f t="shared" si="9"/>
        <v>0</v>
      </c>
      <c r="L9" s="4">
        <f t="shared" si="10"/>
        <v>0</v>
      </c>
      <c r="M9" s="4">
        <f t="shared" si="11"/>
        <v>3</v>
      </c>
      <c r="N9" s="4">
        <f t="shared" si="12"/>
        <v>0</v>
      </c>
      <c r="O9" s="4">
        <f t="shared" si="13"/>
        <v>0</v>
      </c>
      <c r="P9" s="4">
        <f t="shared" si="14"/>
        <v>0</v>
      </c>
      <c r="Q9" s="4">
        <f t="shared" si="15"/>
        <v>0</v>
      </c>
      <c r="R9" s="4">
        <f t="shared" si="16"/>
        <v>0</v>
      </c>
      <c r="S9" s="4">
        <f t="shared" si="17"/>
        <v>0</v>
      </c>
      <c r="T9" s="4">
        <f t="shared" si="18"/>
        <v>0</v>
      </c>
      <c r="V9" s="4">
        <v>6</v>
      </c>
      <c r="W9" s="4">
        <v>18.100000000000001</v>
      </c>
      <c r="X9" s="4">
        <v>-100</v>
      </c>
      <c r="Y9" s="4">
        <v>16.100000000000001</v>
      </c>
      <c r="Z9" s="4">
        <v>16.5</v>
      </c>
      <c r="AA9" s="4">
        <f>CHOOSE(Preamp_DataType,0,'7227'!X9,'7227'!Y9,'7227'!Z9,0,0)</f>
        <v>16.100000000000001</v>
      </c>
      <c r="AB9" s="4">
        <v>0</v>
      </c>
      <c r="AC9" s="4">
        <v>0.26</v>
      </c>
      <c r="AD9" s="4">
        <v>0.23</v>
      </c>
      <c r="AE9" s="4">
        <f>CHOOSE(Preamp_DataType,0,'7227'!AB9,'7227'!AC9,'7227'!AD9,0,0)</f>
        <v>0.26</v>
      </c>
      <c r="AF9" s="4">
        <v>0</v>
      </c>
      <c r="AG9" s="4">
        <v>4</v>
      </c>
      <c r="AH9" s="4">
        <v>8</v>
      </c>
      <c r="AI9" s="4">
        <f>CHOOSE(Preamp_DataType,0,'7227'!AF9,'7227'!AG9,'7227'!AH9,0,0)</f>
        <v>4</v>
      </c>
      <c r="AJ9" s="4">
        <v>0</v>
      </c>
      <c r="AK9" s="4">
        <v>-8</v>
      </c>
      <c r="AL9" s="4">
        <v>-8</v>
      </c>
      <c r="AM9" s="4">
        <f>CHOOSE(Preamp_DataType,0,'7227'!AJ9,'7227'!AK9,'7227'!AL9,0,0)</f>
        <v>-8</v>
      </c>
      <c r="AN9" s="4">
        <v>0</v>
      </c>
      <c r="AO9" s="4">
        <v>-11</v>
      </c>
      <c r="AP9" s="4">
        <v>-11</v>
      </c>
      <c r="AQ9" s="4">
        <f>CHOOSE(Preamp_DataType,0,'7227'!AN9,'7227'!AO9,'7227'!AP9,0,0)</f>
        <v>-11</v>
      </c>
      <c r="AR9" s="4">
        <v>0</v>
      </c>
      <c r="AS9" s="4">
        <v>0.3</v>
      </c>
      <c r="AT9" s="4">
        <v>0.22</v>
      </c>
      <c r="AU9" s="4">
        <f>CHOOSE(Preamp_DataType,0,'7227'!AR9,'7227'!AS9,'7227'!AT9,0,0)</f>
        <v>0.3</v>
      </c>
      <c r="AV9" s="4">
        <v>5</v>
      </c>
      <c r="AW9" s="4">
        <v>6</v>
      </c>
      <c r="AX9" s="4">
        <v>5</v>
      </c>
      <c r="AY9" s="4">
        <f>CHOOSE(Preamp_DataType,0,'7227'!AV9,'7227'!AW9,'7227'!AX9,0,0)</f>
        <v>6</v>
      </c>
      <c r="AZ9" s="4">
        <v>6</v>
      </c>
      <c r="BA9" s="4">
        <v>18</v>
      </c>
    </row>
    <row r="10" spans="1:53">
      <c r="A10" s="4">
        <f>MIN(StopFreqGHz+0.000001,'7227'!A9+FreqStep)</f>
        <v>2.74</v>
      </c>
      <c r="B10" s="4">
        <f t="shared" si="0"/>
        <v>16.8124</v>
      </c>
      <c r="C10" s="4">
        <f t="shared" si="1"/>
        <v>16.100000000000001</v>
      </c>
      <c r="D10" s="4">
        <f t="shared" si="2"/>
        <v>0.26</v>
      </c>
      <c r="E10" s="4">
        <f t="shared" si="3"/>
        <v>6</v>
      </c>
      <c r="F10" s="4">
        <f t="shared" si="4"/>
        <v>-15</v>
      </c>
      <c r="G10" s="4">
        <f t="shared" si="5"/>
        <v>-18</v>
      </c>
      <c r="H10" s="4">
        <f t="shared" si="6"/>
        <v>0.35</v>
      </c>
      <c r="I10" s="4">
        <f t="shared" si="7"/>
        <v>6</v>
      </c>
      <c r="J10" s="4">
        <f t="shared" si="8"/>
        <v>3</v>
      </c>
      <c r="K10" s="4">
        <f t="shared" si="9"/>
        <v>0</v>
      </c>
      <c r="L10" s="4">
        <f t="shared" si="10"/>
        <v>0</v>
      </c>
      <c r="M10" s="4">
        <f t="shared" si="11"/>
        <v>3</v>
      </c>
      <c r="N10" s="4">
        <f t="shared" si="12"/>
        <v>0</v>
      </c>
      <c r="O10" s="4">
        <f t="shared" si="13"/>
        <v>0</v>
      </c>
      <c r="P10" s="4">
        <f t="shared" si="14"/>
        <v>0</v>
      </c>
      <c r="Q10" s="4">
        <f t="shared" si="15"/>
        <v>0</v>
      </c>
      <c r="R10" s="4">
        <f t="shared" si="16"/>
        <v>0</v>
      </c>
      <c r="S10" s="4">
        <f t="shared" si="17"/>
        <v>0</v>
      </c>
      <c r="T10" s="4">
        <f t="shared" si="18"/>
        <v>0</v>
      </c>
      <c r="V10" s="4">
        <v>18.100000000000001</v>
      </c>
      <c r="W10" s="4">
        <v>26.51</v>
      </c>
      <c r="X10" s="4">
        <v>-100</v>
      </c>
      <c r="Y10" s="4">
        <v>16.100000000000001</v>
      </c>
      <c r="Z10" s="4">
        <v>16.5</v>
      </c>
      <c r="AA10" s="4">
        <f>CHOOSE(Preamp_DataType,0,'7227'!X10,'7227'!Y10,'7227'!Z10,0,0)</f>
        <v>16.100000000000001</v>
      </c>
      <c r="AB10" s="4">
        <v>0</v>
      </c>
      <c r="AC10" s="4">
        <v>0.26</v>
      </c>
      <c r="AD10" s="4">
        <v>0.23</v>
      </c>
      <c r="AE10" s="4">
        <f>CHOOSE(Preamp_DataType,0,'7227'!AB10,'7227'!AC10,'7227'!AD10,0,0)</f>
        <v>0.26</v>
      </c>
      <c r="AF10" s="4">
        <v>0</v>
      </c>
      <c r="AG10" s="4">
        <v>5</v>
      </c>
      <c r="AH10" s="4">
        <v>8</v>
      </c>
      <c r="AI10" s="4">
        <f>CHOOSE(Preamp_DataType,0,'7227'!AF10,'7227'!AG10,'7227'!AH10,0,0)</f>
        <v>5</v>
      </c>
      <c r="AJ10" s="4">
        <v>0</v>
      </c>
      <c r="AK10" s="4">
        <v>-8</v>
      </c>
      <c r="AL10" s="4">
        <v>-8</v>
      </c>
      <c r="AM10" s="4">
        <f>CHOOSE(Preamp_DataType,0,'7227'!AJ10,'7227'!AK10,'7227'!AL10,0,0)</f>
        <v>-8</v>
      </c>
      <c r="AN10" s="4">
        <v>0</v>
      </c>
      <c r="AO10" s="4">
        <v>-11</v>
      </c>
      <c r="AP10" s="4">
        <v>-11</v>
      </c>
      <c r="AQ10" s="4">
        <f>CHOOSE(Preamp_DataType,0,'7227'!AN10,'7227'!AO10,'7227'!AP10,0,0)</f>
        <v>-11</v>
      </c>
      <c r="AR10" s="4">
        <v>0</v>
      </c>
      <c r="AS10" s="4">
        <v>0.3</v>
      </c>
      <c r="AT10" s="4">
        <v>0.2</v>
      </c>
      <c r="AU10" s="4">
        <f>CHOOSE(Preamp_DataType,0,'7227'!AR10,'7227'!AS10,'7227'!AT10,0,0)</f>
        <v>0.3</v>
      </c>
      <c r="AV10" s="4">
        <v>5</v>
      </c>
      <c r="AW10" s="4">
        <v>5</v>
      </c>
      <c r="AX10" s="4">
        <v>3</v>
      </c>
      <c r="AY10" s="4">
        <f>CHOOSE(Preamp_DataType,0,'7227'!AV10,'7227'!AW10,'7227'!AX10,0,0)</f>
        <v>5</v>
      </c>
      <c r="AZ10" s="4">
        <v>18</v>
      </c>
      <c r="BA10" s="4">
        <v>26.5</v>
      </c>
    </row>
    <row r="11" spans="1:53">
      <c r="A11" s="4">
        <f>MIN(StopFreqGHz+0.000001,'7227'!A10+FreqStep)</f>
        <v>3.2680000000000002</v>
      </c>
      <c r="B11" s="4">
        <f t="shared" si="0"/>
        <v>16.949680000000001</v>
      </c>
      <c r="C11" s="4">
        <f t="shared" si="1"/>
        <v>16.100000000000001</v>
      </c>
      <c r="D11" s="4">
        <f t="shared" si="2"/>
        <v>0.26</v>
      </c>
      <c r="E11" s="4">
        <f t="shared" si="3"/>
        <v>6</v>
      </c>
      <c r="F11" s="4">
        <f t="shared" si="4"/>
        <v>-15</v>
      </c>
      <c r="G11" s="4">
        <f t="shared" si="5"/>
        <v>-18</v>
      </c>
      <c r="H11" s="4">
        <f t="shared" si="6"/>
        <v>0.35</v>
      </c>
      <c r="I11" s="4">
        <f t="shared" si="7"/>
        <v>6</v>
      </c>
      <c r="J11" s="4">
        <f t="shared" si="8"/>
        <v>4</v>
      </c>
      <c r="K11" s="4">
        <f t="shared" si="9"/>
        <v>0</v>
      </c>
      <c r="L11" s="4">
        <f t="shared" si="10"/>
        <v>0</v>
      </c>
      <c r="M11" s="4">
        <f t="shared" si="11"/>
        <v>0</v>
      </c>
      <c r="N11" s="4">
        <f t="shared" si="12"/>
        <v>4</v>
      </c>
      <c r="O11" s="4">
        <f t="shared" si="13"/>
        <v>0</v>
      </c>
      <c r="P11" s="4">
        <f t="shared" si="14"/>
        <v>0</v>
      </c>
      <c r="Q11" s="4">
        <f t="shared" si="15"/>
        <v>0</v>
      </c>
      <c r="R11" s="4">
        <f t="shared" si="16"/>
        <v>0</v>
      </c>
      <c r="S11" s="4">
        <f t="shared" si="17"/>
        <v>0</v>
      </c>
      <c r="T11" s="4">
        <f t="shared" si="18"/>
        <v>0</v>
      </c>
      <c r="V11" s="4">
        <v>26.51</v>
      </c>
      <c r="W11" s="4">
        <v>40</v>
      </c>
      <c r="X11" s="4">
        <v>-100</v>
      </c>
      <c r="Y11" s="4">
        <v>-100</v>
      </c>
      <c r="Z11" s="4">
        <v>16.5</v>
      </c>
      <c r="AA11" s="4">
        <f>CHOOSE(Preamp_DataType,0,'7227'!X11,'7227'!Y11,'7227'!Z11,0,0)</f>
        <v>-100</v>
      </c>
      <c r="AB11" s="4">
        <v>0</v>
      </c>
      <c r="AC11" s="4">
        <v>0</v>
      </c>
      <c r="AD11" s="4">
        <v>0.23</v>
      </c>
      <c r="AE11" s="4">
        <f>CHOOSE(Preamp_DataType,0,'7227'!AB11,'7227'!AC11,'7227'!AD11,0,0)</f>
        <v>0</v>
      </c>
      <c r="AF11" s="4">
        <v>0</v>
      </c>
      <c r="AG11" s="4">
        <v>0</v>
      </c>
      <c r="AH11" s="4">
        <v>8</v>
      </c>
      <c r="AI11" s="4">
        <f>CHOOSE(Preamp_DataType,0,'7227'!AF11,'7227'!AG11,'7227'!AH11,0,0)</f>
        <v>0</v>
      </c>
      <c r="AJ11" s="4">
        <v>0</v>
      </c>
      <c r="AK11" s="4">
        <v>0</v>
      </c>
      <c r="AL11" s="4">
        <v>-8</v>
      </c>
      <c r="AM11" s="4">
        <f>CHOOSE(Preamp_DataType,0,'7227'!AJ11,'7227'!AK11,'7227'!AL11,0,0)</f>
        <v>0</v>
      </c>
      <c r="AN11" s="4">
        <v>0</v>
      </c>
      <c r="AO11" s="4">
        <v>0</v>
      </c>
      <c r="AP11" s="4">
        <v>-8</v>
      </c>
      <c r="AQ11" s="4">
        <f>CHOOSE(Preamp_DataType,0,'7227'!AN11,'7227'!AO11,'7227'!AP11,0,0)</f>
        <v>0</v>
      </c>
      <c r="AR11" s="4">
        <v>0</v>
      </c>
      <c r="AS11" s="4">
        <v>0</v>
      </c>
      <c r="AT11" s="4">
        <v>0.15</v>
      </c>
      <c r="AU11" s="4">
        <f>CHOOSE(Preamp_DataType,0,'7227'!AR11,'7227'!AS11,'7227'!AT11,0,0)</f>
        <v>0</v>
      </c>
      <c r="AV11" s="4">
        <v>5</v>
      </c>
      <c r="AW11" s="4">
        <v>5</v>
      </c>
      <c r="AX11" s="4">
        <v>2</v>
      </c>
      <c r="AY11" s="4">
        <f>CHOOSE(Preamp_DataType,0,'7227'!AV11,'7227'!AW11,'7227'!AX11,0,0)</f>
        <v>5</v>
      </c>
      <c r="AZ11" s="4">
        <v>26.5</v>
      </c>
      <c r="BA11" s="4">
        <v>40</v>
      </c>
    </row>
    <row r="12" spans="1:53">
      <c r="A12" s="4">
        <f>MIN(StopFreqGHz+0.000001,'7227'!A11+FreqStep)</f>
        <v>3.7960000000000003</v>
      </c>
      <c r="B12" s="4">
        <f t="shared" si="0"/>
        <v>17.086960000000001</v>
      </c>
      <c r="C12" s="4">
        <f t="shared" si="1"/>
        <v>16.100000000000001</v>
      </c>
      <c r="D12" s="4">
        <f t="shared" si="2"/>
        <v>0.26</v>
      </c>
      <c r="E12" s="4">
        <f t="shared" si="3"/>
        <v>6</v>
      </c>
      <c r="F12" s="4">
        <f t="shared" si="4"/>
        <v>-15</v>
      </c>
      <c r="G12" s="4">
        <f t="shared" si="5"/>
        <v>-18</v>
      </c>
      <c r="H12" s="4">
        <f t="shared" si="6"/>
        <v>0.35</v>
      </c>
      <c r="I12" s="4">
        <f t="shared" si="7"/>
        <v>6</v>
      </c>
      <c r="J12" s="4">
        <f t="shared" si="8"/>
        <v>4</v>
      </c>
      <c r="K12" s="4">
        <f t="shared" si="9"/>
        <v>0</v>
      </c>
      <c r="L12" s="4">
        <f t="shared" si="10"/>
        <v>0</v>
      </c>
      <c r="M12" s="4">
        <f t="shared" si="11"/>
        <v>0</v>
      </c>
      <c r="N12" s="4">
        <f t="shared" si="12"/>
        <v>4</v>
      </c>
      <c r="O12" s="4">
        <f t="shared" si="13"/>
        <v>0</v>
      </c>
      <c r="P12" s="4">
        <f t="shared" si="14"/>
        <v>0</v>
      </c>
      <c r="Q12" s="4">
        <f t="shared" si="15"/>
        <v>0</v>
      </c>
      <c r="R12" s="4">
        <f t="shared" si="16"/>
        <v>0</v>
      </c>
      <c r="S12" s="4">
        <f t="shared" si="17"/>
        <v>0</v>
      </c>
      <c r="T12" s="4">
        <f t="shared" si="18"/>
        <v>0</v>
      </c>
      <c r="V12" s="4">
        <v>40</v>
      </c>
      <c r="W12" s="4">
        <v>44</v>
      </c>
      <c r="X12" s="4">
        <v>-100</v>
      </c>
      <c r="Y12" s="4">
        <v>-100</v>
      </c>
      <c r="Z12" s="4">
        <v>16.5</v>
      </c>
      <c r="AA12" s="4">
        <f>CHOOSE(Preamp_DataType,0,'7227'!X12,'7227'!Y12,'7227'!Z12,0,0)</f>
        <v>-100</v>
      </c>
      <c r="AB12" s="4">
        <v>0</v>
      </c>
      <c r="AC12" s="4">
        <v>0</v>
      </c>
      <c r="AD12" s="4">
        <v>0.23</v>
      </c>
      <c r="AE12" s="4">
        <f>CHOOSE(Preamp_DataType,0,'7227'!AB12,'7227'!AC12,'7227'!AD12,0,0)</f>
        <v>0</v>
      </c>
      <c r="AF12" s="4">
        <v>0</v>
      </c>
      <c r="AG12" s="4">
        <v>0</v>
      </c>
      <c r="AH12" s="4">
        <v>9</v>
      </c>
      <c r="AI12" s="4">
        <f>CHOOSE(Preamp_DataType,0,'7227'!AF12,'7227'!AG12,'7227'!AH12,0,0)</f>
        <v>0</v>
      </c>
      <c r="AJ12" s="4">
        <v>0</v>
      </c>
      <c r="AK12" s="4">
        <v>0</v>
      </c>
      <c r="AL12" s="4">
        <v>-6</v>
      </c>
      <c r="AM12" s="4">
        <f>CHOOSE(Preamp_DataType,0,'7227'!AJ12,'7227'!AK12,'7227'!AL12,0,0)</f>
        <v>0</v>
      </c>
      <c r="AN12" s="4">
        <v>0</v>
      </c>
      <c r="AO12" s="4">
        <v>0</v>
      </c>
      <c r="AP12" s="4">
        <v>-6</v>
      </c>
      <c r="AQ12" s="4">
        <f>CHOOSE(Preamp_DataType,0,'7227'!AN12,'7227'!AO12,'7227'!AP12,0,0)</f>
        <v>0</v>
      </c>
      <c r="AR12" s="4">
        <v>0</v>
      </c>
      <c r="AS12" s="4">
        <v>0</v>
      </c>
      <c r="AT12" s="4">
        <v>0.06</v>
      </c>
      <c r="AU12" s="4">
        <f>CHOOSE(Preamp_DataType,0,'7227'!AR12,'7227'!AS12,'7227'!AT12,0,0)</f>
        <v>0</v>
      </c>
      <c r="AV12" s="4">
        <v>5</v>
      </c>
      <c r="AW12" s="4">
        <v>5</v>
      </c>
      <c r="AX12" s="4">
        <v>2</v>
      </c>
      <c r="AY12" s="4">
        <f>CHOOSE(Preamp_DataType,0,'7227'!AV12,'7227'!AW12,'7227'!AX12,0,0)</f>
        <v>5</v>
      </c>
      <c r="AZ12" s="4">
        <v>40</v>
      </c>
      <c r="BA12" s="4">
        <v>44</v>
      </c>
    </row>
    <row r="13" spans="1:53">
      <c r="A13" s="4">
        <f>MIN(StopFreqGHz+0.000001,'7227'!A12+FreqStep)</f>
        <v>4.3239999999999998</v>
      </c>
      <c r="B13" s="4">
        <f t="shared" si="0"/>
        <v>17.224240000000002</v>
      </c>
      <c r="C13" s="4">
        <f t="shared" si="1"/>
        <v>16.100000000000001</v>
      </c>
      <c r="D13" s="4">
        <f t="shared" si="2"/>
        <v>0.26</v>
      </c>
      <c r="E13" s="4">
        <f t="shared" si="3"/>
        <v>5</v>
      </c>
      <c r="F13" s="4">
        <f t="shared" si="4"/>
        <v>-8</v>
      </c>
      <c r="G13" s="4">
        <f t="shared" si="5"/>
        <v>-11</v>
      </c>
      <c r="H13" s="4">
        <f t="shared" si="6"/>
        <v>0.35</v>
      </c>
      <c r="I13" s="4">
        <f t="shared" si="7"/>
        <v>8</v>
      </c>
      <c r="J13" s="4">
        <f t="shared" si="8"/>
        <v>5</v>
      </c>
      <c r="K13" s="4">
        <f t="shared" si="9"/>
        <v>0</v>
      </c>
      <c r="L13" s="4">
        <f t="shared" si="10"/>
        <v>0</v>
      </c>
      <c r="M13" s="4">
        <f t="shared" si="11"/>
        <v>0</v>
      </c>
      <c r="N13" s="4">
        <f t="shared" si="12"/>
        <v>0</v>
      </c>
      <c r="O13" s="4">
        <f t="shared" si="13"/>
        <v>5</v>
      </c>
      <c r="P13" s="4">
        <f t="shared" si="14"/>
        <v>0</v>
      </c>
      <c r="Q13" s="4">
        <f t="shared" si="15"/>
        <v>0</v>
      </c>
      <c r="R13" s="4">
        <f t="shared" si="16"/>
        <v>0</v>
      </c>
      <c r="S13" s="4">
        <f t="shared" si="17"/>
        <v>0</v>
      </c>
      <c r="T13" s="4">
        <f t="shared" si="18"/>
        <v>0</v>
      </c>
      <c r="V13" s="4">
        <v>44</v>
      </c>
      <c r="W13" s="4">
        <v>50.1</v>
      </c>
      <c r="X13" s="4">
        <v>-100</v>
      </c>
      <c r="Y13" s="4">
        <v>-100</v>
      </c>
      <c r="Z13" s="4">
        <v>16.5</v>
      </c>
      <c r="AA13" s="4">
        <f>CHOOSE(Preamp_DataType,0,'7227'!X13,'7227'!Y13,'7227'!Z13,0,0)</f>
        <v>-100</v>
      </c>
      <c r="AB13" s="4">
        <v>0</v>
      </c>
      <c r="AC13" s="4">
        <v>0</v>
      </c>
      <c r="AD13" s="4">
        <v>0.23</v>
      </c>
      <c r="AE13" s="4">
        <f>CHOOSE(Preamp_DataType,0,'7227'!AB13,'7227'!AC13,'7227'!AD13,0,0)</f>
        <v>0</v>
      </c>
      <c r="AF13" s="4">
        <v>0</v>
      </c>
      <c r="AG13" s="4">
        <v>0</v>
      </c>
      <c r="AH13" s="4">
        <v>10</v>
      </c>
      <c r="AI13" s="4">
        <f>CHOOSE(Preamp_DataType,0,'7227'!AF13,'7227'!AG13,'7227'!AH13,0,0)</f>
        <v>0</v>
      </c>
      <c r="AJ13" s="4">
        <v>0</v>
      </c>
      <c r="AK13" s="4">
        <v>0</v>
      </c>
      <c r="AL13" s="4">
        <v>-5</v>
      </c>
      <c r="AM13" s="4">
        <f>CHOOSE(Preamp_DataType,0,'7227'!AJ13,'7227'!AK13,'7227'!AL13,0,0)</f>
        <v>0</v>
      </c>
      <c r="AN13" s="4">
        <v>0</v>
      </c>
      <c r="AO13" s="4">
        <v>0</v>
      </c>
      <c r="AP13" s="4">
        <v>-6</v>
      </c>
      <c r="AQ13" s="4">
        <f>CHOOSE(Preamp_DataType,0,'7227'!AN13,'7227'!AO13,'7227'!AP13,0,0)</f>
        <v>0</v>
      </c>
      <c r="AR13" s="4">
        <v>0</v>
      </c>
      <c r="AS13" s="4">
        <v>0</v>
      </c>
      <c r="AT13" s="4">
        <v>7.0000000000000007E-2</v>
      </c>
      <c r="AU13" s="4">
        <f>CHOOSE(Preamp_DataType,0,'7227'!AR13,'7227'!AS13,'7227'!AT13,0,0)</f>
        <v>0</v>
      </c>
      <c r="AV13" s="4">
        <v>5</v>
      </c>
      <c r="AW13" s="4">
        <v>5</v>
      </c>
      <c r="AX13" s="4">
        <v>-3</v>
      </c>
      <c r="AY13" s="4">
        <f>CHOOSE(Preamp_DataType,0,'7227'!AV13,'7227'!AW13,'7227'!AX13,0,0)</f>
        <v>5</v>
      </c>
      <c r="AZ13" s="4">
        <v>44</v>
      </c>
      <c r="BA13" s="4">
        <v>50</v>
      </c>
    </row>
    <row r="14" spans="1:53">
      <c r="A14" s="4">
        <f>MIN(StopFreqGHz+0.000001,'7227'!A13+FreqStep)</f>
        <v>4.8520000000000003</v>
      </c>
      <c r="B14" s="4">
        <f t="shared" si="0"/>
        <v>17.361520000000002</v>
      </c>
      <c r="C14" s="4">
        <f t="shared" si="1"/>
        <v>16.100000000000001</v>
      </c>
      <c r="D14" s="4">
        <f t="shared" si="2"/>
        <v>0.26</v>
      </c>
      <c r="E14" s="4">
        <f t="shared" si="3"/>
        <v>5</v>
      </c>
      <c r="F14" s="4">
        <f t="shared" si="4"/>
        <v>-8</v>
      </c>
      <c r="G14" s="4">
        <f t="shared" si="5"/>
        <v>-11</v>
      </c>
      <c r="H14" s="4">
        <f t="shared" si="6"/>
        <v>0.35</v>
      </c>
      <c r="I14" s="4">
        <f t="shared" si="7"/>
        <v>8</v>
      </c>
      <c r="J14" s="4">
        <f t="shared" si="8"/>
        <v>5</v>
      </c>
      <c r="K14" s="4">
        <f t="shared" si="9"/>
        <v>0</v>
      </c>
      <c r="L14" s="4">
        <f t="shared" si="10"/>
        <v>0</v>
      </c>
      <c r="M14" s="4">
        <f t="shared" si="11"/>
        <v>0</v>
      </c>
      <c r="N14" s="4">
        <f t="shared" si="12"/>
        <v>0</v>
      </c>
      <c r="O14" s="4">
        <f t="shared" si="13"/>
        <v>5</v>
      </c>
      <c r="P14" s="4">
        <f t="shared" si="14"/>
        <v>0</v>
      </c>
      <c r="Q14" s="4">
        <f t="shared" si="15"/>
        <v>0</v>
      </c>
      <c r="R14" s="4">
        <f t="shared" si="16"/>
        <v>0</v>
      </c>
      <c r="S14" s="4">
        <f t="shared" si="17"/>
        <v>0</v>
      </c>
      <c r="T14" s="4">
        <f t="shared" si="18"/>
        <v>0</v>
      </c>
    </row>
    <row r="15" spans="1:53">
      <c r="A15" s="4">
        <f>MIN(StopFreqGHz+0.000001,'7227'!A14+FreqStep)</f>
        <v>5.3800000000000008</v>
      </c>
      <c r="B15" s="4">
        <f t="shared" si="0"/>
        <v>17.498800000000003</v>
      </c>
      <c r="C15" s="4">
        <f t="shared" si="1"/>
        <v>16.100000000000001</v>
      </c>
      <c r="D15" s="4">
        <f t="shared" si="2"/>
        <v>0.26</v>
      </c>
      <c r="E15" s="4">
        <f t="shared" si="3"/>
        <v>5</v>
      </c>
      <c r="F15" s="4">
        <f t="shared" si="4"/>
        <v>-8</v>
      </c>
      <c r="G15" s="4">
        <f t="shared" si="5"/>
        <v>-11</v>
      </c>
      <c r="H15" s="4">
        <f t="shared" si="6"/>
        <v>0.35</v>
      </c>
      <c r="I15" s="4">
        <f t="shared" si="7"/>
        <v>8</v>
      </c>
      <c r="J15" s="4">
        <f t="shared" si="8"/>
        <v>5</v>
      </c>
      <c r="K15" s="4">
        <f t="shared" si="9"/>
        <v>0</v>
      </c>
      <c r="L15" s="4">
        <f t="shared" si="10"/>
        <v>0</v>
      </c>
      <c r="M15" s="4">
        <f t="shared" si="11"/>
        <v>0</v>
      </c>
      <c r="N15" s="4">
        <f t="shared" si="12"/>
        <v>0</v>
      </c>
      <c r="O15" s="4">
        <f t="shared" si="13"/>
        <v>5</v>
      </c>
      <c r="P15" s="4">
        <f t="shared" si="14"/>
        <v>0</v>
      </c>
      <c r="Q15" s="4">
        <f t="shared" si="15"/>
        <v>0</v>
      </c>
      <c r="R15" s="4">
        <f t="shared" si="16"/>
        <v>0</v>
      </c>
      <c r="S15" s="4">
        <f t="shared" si="17"/>
        <v>0</v>
      </c>
      <c r="T15" s="4">
        <f t="shared" si="18"/>
        <v>0</v>
      </c>
    </row>
    <row r="16" spans="1:53">
      <c r="A16" s="4">
        <f>MIN(StopFreqGHz+0.000001,'7227'!A15+FreqStep)</f>
        <v>5.9080000000000013</v>
      </c>
      <c r="B16" s="4">
        <f t="shared" ref="B16:B79" si="19">C16+A16*D16</f>
        <v>17.636080000000003</v>
      </c>
      <c r="C16" s="4">
        <f t="shared" si="1"/>
        <v>16.100000000000001</v>
      </c>
      <c r="D16" s="4">
        <f t="shared" si="2"/>
        <v>0.26</v>
      </c>
      <c r="E16" s="4">
        <f t="shared" si="3"/>
        <v>5</v>
      </c>
      <c r="F16" s="4">
        <f t="shared" si="4"/>
        <v>-8</v>
      </c>
      <c r="G16" s="4">
        <f t="shared" si="5"/>
        <v>-11</v>
      </c>
      <c r="H16" s="4">
        <f t="shared" si="6"/>
        <v>0.35</v>
      </c>
      <c r="I16" s="4">
        <f t="shared" si="7"/>
        <v>8</v>
      </c>
      <c r="J16" s="4">
        <f t="shared" ref="J16:J79" si="20">SUM(K16:T16)</f>
        <v>5</v>
      </c>
      <c r="K16" s="4">
        <f t="shared" si="9"/>
        <v>0</v>
      </c>
      <c r="L16" s="4">
        <f t="shared" si="10"/>
        <v>0</v>
      </c>
      <c r="M16" s="4">
        <f t="shared" si="11"/>
        <v>0</v>
      </c>
      <c r="N16" s="4">
        <f t="shared" si="12"/>
        <v>0</v>
      </c>
      <c r="O16" s="4">
        <f t="shared" si="13"/>
        <v>5</v>
      </c>
      <c r="P16" s="4">
        <f t="shared" si="14"/>
        <v>0</v>
      </c>
      <c r="Q16" s="4">
        <f t="shared" si="15"/>
        <v>0</v>
      </c>
      <c r="R16" s="4">
        <f t="shared" si="16"/>
        <v>0</v>
      </c>
      <c r="S16" s="4">
        <f t="shared" si="17"/>
        <v>0</v>
      </c>
      <c r="T16" s="4">
        <f t="shared" si="18"/>
        <v>0</v>
      </c>
    </row>
    <row r="17" spans="1:20">
      <c r="A17" s="4">
        <f>MIN(StopFreqGHz+0.000001,'7227'!A16+FreqStep)</f>
        <v>6.4360000000000017</v>
      </c>
      <c r="B17" s="4">
        <f t="shared" si="19"/>
        <v>17.77336</v>
      </c>
      <c r="C17" s="4">
        <f t="shared" si="1"/>
        <v>16.100000000000001</v>
      </c>
      <c r="D17" s="4">
        <f t="shared" si="2"/>
        <v>0.26</v>
      </c>
      <c r="E17" s="4">
        <f t="shared" si="3"/>
        <v>4</v>
      </c>
      <c r="F17" s="4">
        <f t="shared" si="4"/>
        <v>-8</v>
      </c>
      <c r="G17" s="4">
        <f t="shared" si="5"/>
        <v>-11</v>
      </c>
      <c r="H17" s="4">
        <f t="shared" si="6"/>
        <v>0.3</v>
      </c>
      <c r="I17" s="4">
        <f t="shared" si="7"/>
        <v>6</v>
      </c>
      <c r="J17" s="4">
        <f t="shared" si="20"/>
        <v>6</v>
      </c>
      <c r="K17" s="4">
        <f t="shared" si="9"/>
        <v>0</v>
      </c>
      <c r="L17" s="4">
        <f t="shared" si="10"/>
        <v>0</v>
      </c>
      <c r="M17" s="4">
        <f t="shared" si="11"/>
        <v>0</v>
      </c>
      <c r="N17" s="4">
        <f t="shared" si="12"/>
        <v>0</v>
      </c>
      <c r="O17" s="4">
        <f t="shared" si="13"/>
        <v>0</v>
      </c>
      <c r="P17" s="4">
        <f t="shared" si="14"/>
        <v>6</v>
      </c>
      <c r="Q17" s="4">
        <f t="shared" si="15"/>
        <v>0</v>
      </c>
      <c r="R17" s="4">
        <f t="shared" si="16"/>
        <v>0</v>
      </c>
      <c r="S17" s="4">
        <f t="shared" si="17"/>
        <v>0</v>
      </c>
      <c r="T17" s="4">
        <f t="shared" si="18"/>
        <v>0</v>
      </c>
    </row>
    <row r="18" spans="1:20">
      <c r="A18" s="4">
        <f>MIN(StopFreqGHz+0.000001,'7227'!A17+FreqStep)</f>
        <v>6.9640000000000022</v>
      </c>
      <c r="B18" s="4">
        <f t="shared" si="19"/>
        <v>17.910640000000001</v>
      </c>
      <c r="C18" s="4">
        <f t="shared" si="1"/>
        <v>16.100000000000001</v>
      </c>
      <c r="D18" s="4">
        <f t="shared" si="2"/>
        <v>0.26</v>
      </c>
      <c r="E18" s="4">
        <f t="shared" si="3"/>
        <v>4</v>
      </c>
      <c r="F18" s="4">
        <f t="shared" si="4"/>
        <v>-8</v>
      </c>
      <c r="G18" s="4">
        <f t="shared" si="5"/>
        <v>-11</v>
      </c>
      <c r="H18" s="4">
        <f t="shared" si="6"/>
        <v>0.3</v>
      </c>
      <c r="I18" s="4">
        <f t="shared" si="7"/>
        <v>6</v>
      </c>
      <c r="J18" s="4">
        <f t="shared" si="20"/>
        <v>6</v>
      </c>
      <c r="K18" s="4">
        <f t="shared" si="9"/>
        <v>0</v>
      </c>
      <c r="L18" s="4">
        <f t="shared" si="10"/>
        <v>0</v>
      </c>
      <c r="M18" s="4">
        <f t="shared" si="11"/>
        <v>0</v>
      </c>
      <c r="N18" s="4">
        <f t="shared" si="12"/>
        <v>0</v>
      </c>
      <c r="O18" s="4">
        <f t="shared" si="13"/>
        <v>0</v>
      </c>
      <c r="P18" s="4">
        <f t="shared" si="14"/>
        <v>6</v>
      </c>
      <c r="Q18" s="4">
        <f t="shared" si="15"/>
        <v>0</v>
      </c>
      <c r="R18" s="4">
        <f t="shared" si="16"/>
        <v>0</v>
      </c>
      <c r="S18" s="4">
        <f t="shared" si="17"/>
        <v>0</v>
      </c>
      <c r="T18" s="4">
        <f t="shared" si="18"/>
        <v>0</v>
      </c>
    </row>
    <row r="19" spans="1:20">
      <c r="A19" s="4">
        <f>MIN(StopFreqGHz+0.000001,'7227'!A18+FreqStep)</f>
        <v>7.4920000000000027</v>
      </c>
      <c r="B19" s="4">
        <f t="shared" si="19"/>
        <v>18.047920000000001</v>
      </c>
      <c r="C19" s="4">
        <f t="shared" si="1"/>
        <v>16.100000000000001</v>
      </c>
      <c r="D19" s="4">
        <f t="shared" si="2"/>
        <v>0.26</v>
      </c>
      <c r="E19" s="4">
        <f t="shared" si="3"/>
        <v>4</v>
      </c>
      <c r="F19" s="4">
        <f t="shared" si="4"/>
        <v>-8</v>
      </c>
      <c r="G19" s="4">
        <f t="shared" si="5"/>
        <v>-11</v>
      </c>
      <c r="H19" s="4">
        <f t="shared" si="6"/>
        <v>0.3</v>
      </c>
      <c r="I19" s="4">
        <f t="shared" si="7"/>
        <v>6</v>
      </c>
      <c r="J19" s="4">
        <f t="shared" si="20"/>
        <v>6</v>
      </c>
      <c r="K19" s="4">
        <f t="shared" si="9"/>
        <v>0</v>
      </c>
      <c r="L19" s="4">
        <f t="shared" si="10"/>
        <v>0</v>
      </c>
      <c r="M19" s="4">
        <f t="shared" si="11"/>
        <v>0</v>
      </c>
      <c r="N19" s="4">
        <f t="shared" si="12"/>
        <v>0</v>
      </c>
      <c r="O19" s="4">
        <f t="shared" si="13"/>
        <v>0</v>
      </c>
      <c r="P19" s="4">
        <f t="shared" si="14"/>
        <v>6</v>
      </c>
      <c r="Q19" s="4">
        <f t="shared" si="15"/>
        <v>0</v>
      </c>
      <c r="R19" s="4">
        <f t="shared" si="16"/>
        <v>0</v>
      </c>
      <c r="S19" s="4">
        <f t="shared" si="17"/>
        <v>0</v>
      </c>
      <c r="T19" s="4">
        <f t="shared" si="18"/>
        <v>0</v>
      </c>
    </row>
    <row r="20" spans="1:20">
      <c r="A20" s="4">
        <f>MIN(StopFreqGHz+0.000001,'7227'!A19+FreqStep)</f>
        <v>8.0200000000000031</v>
      </c>
      <c r="B20" s="4">
        <f t="shared" si="19"/>
        <v>18.185200000000002</v>
      </c>
      <c r="C20" s="4">
        <f t="shared" si="1"/>
        <v>16.100000000000001</v>
      </c>
      <c r="D20" s="4">
        <f t="shared" si="2"/>
        <v>0.26</v>
      </c>
      <c r="E20" s="4">
        <f t="shared" si="3"/>
        <v>4</v>
      </c>
      <c r="F20" s="4">
        <f t="shared" si="4"/>
        <v>-8</v>
      </c>
      <c r="G20" s="4">
        <f t="shared" si="5"/>
        <v>-11</v>
      </c>
      <c r="H20" s="4">
        <f t="shared" si="6"/>
        <v>0.3</v>
      </c>
      <c r="I20" s="4">
        <f t="shared" si="7"/>
        <v>6</v>
      </c>
      <c r="J20" s="4">
        <f t="shared" si="20"/>
        <v>6</v>
      </c>
      <c r="K20" s="4">
        <f t="shared" si="9"/>
        <v>0</v>
      </c>
      <c r="L20" s="4">
        <f t="shared" si="10"/>
        <v>0</v>
      </c>
      <c r="M20" s="4">
        <f t="shared" si="11"/>
        <v>0</v>
      </c>
      <c r="N20" s="4">
        <f t="shared" si="12"/>
        <v>0</v>
      </c>
      <c r="O20" s="4">
        <f t="shared" si="13"/>
        <v>0</v>
      </c>
      <c r="P20" s="4">
        <f t="shared" si="14"/>
        <v>6</v>
      </c>
      <c r="Q20" s="4">
        <f t="shared" si="15"/>
        <v>0</v>
      </c>
      <c r="R20" s="4">
        <f t="shared" si="16"/>
        <v>0</v>
      </c>
      <c r="S20" s="4">
        <f t="shared" si="17"/>
        <v>0</v>
      </c>
      <c r="T20" s="4">
        <f t="shared" si="18"/>
        <v>0</v>
      </c>
    </row>
    <row r="21" spans="1:20">
      <c r="A21" s="4">
        <f>MIN(StopFreqGHz+0.000001,'7227'!A20+FreqStep)</f>
        <v>8.5480000000000036</v>
      </c>
      <c r="B21" s="4">
        <f t="shared" si="19"/>
        <v>18.322480000000002</v>
      </c>
      <c r="C21" s="4">
        <f t="shared" si="1"/>
        <v>16.100000000000001</v>
      </c>
      <c r="D21" s="4">
        <f t="shared" si="2"/>
        <v>0.26</v>
      </c>
      <c r="E21" s="4">
        <f t="shared" si="3"/>
        <v>4</v>
      </c>
      <c r="F21" s="4">
        <f t="shared" si="4"/>
        <v>-8</v>
      </c>
      <c r="G21" s="4">
        <f t="shared" si="5"/>
        <v>-11</v>
      </c>
      <c r="H21" s="4">
        <f t="shared" si="6"/>
        <v>0.3</v>
      </c>
      <c r="I21" s="4">
        <f t="shared" si="7"/>
        <v>6</v>
      </c>
      <c r="J21" s="4">
        <f t="shared" si="20"/>
        <v>6</v>
      </c>
      <c r="K21" s="4">
        <f t="shared" si="9"/>
        <v>0</v>
      </c>
      <c r="L21" s="4">
        <f t="shared" si="10"/>
        <v>0</v>
      </c>
      <c r="M21" s="4">
        <f t="shared" si="11"/>
        <v>0</v>
      </c>
      <c r="N21" s="4">
        <f t="shared" si="12"/>
        <v>0</v>
      </c>
      <c r="O21" s="4">
        <f t="shared" si="13"/>
        <v>0</v>
      </c>
      <c r="P21" s="4">
        <f t="shared" si="14"/>
        <v>6</v>
      </c>
      <c r="Q21" s="4">
        <f t="shared" si="15"/>
        <v>0</v>
      </c>
      <c r="R21" s="4">
        <f t="shared" si="16"/>
        <v>0</v>
      </c>
      <c r="S21" s="4">
        <f t="shared" si="17"/>
        <v>0</v>
      </c>
      <c r="T21" s="4">
        <f t="shared" si="18"/>
        <v>0</v>
      </c>
    </row>
    <row r="22" spans="1:20">
      <c r="A22" s="4">
        <f>MIN(StopFreqGHz+0.000001,'7227'!A21+FreqStep)</f>
        <v>9.0760000000000041</v>
      </c>
      <c r="B22" s="4">
        <f t="shared" si="19"/>
        <v>18.459760000000003</v>
      </c>
      <c r="C22" s="4">
        <f t="shared" si="1"/>
        <v>16.100000000000001</v>
      </c>
      <c r="D22" s="4">
        <f t="shared" si="2"/>
        <v>0.26</v>
      </c>
      <c r="E22" s="4">
        <f t="shared" si="3"/>
        <v>4</v>
      </c>
      <c r="F22" s="4">
        <f t="shared" si="4"/>
        <v>-8</v>
      </c>
      <c r="G22" s="4">
        <f t="shared" si="5"/>
        <v>-11</v>
      </c>
      <c r="H22" s="4">
        <f t="shared" si="6"/>
        <v>0.3</v>
      </c>
      <c r="I22" s="4">
        <f t="shared" si="7"/>
        <v>6</v>
      </c>
      <c r="J22" s="4">
        <f t="shared" si="20"/>
        <v>6</v>
      </c>
      <c r="K22" s="4">
        <f t="shared" si="9"/>
        <v>0</v>
      </c>
      <c r="L22" s="4">
        <f t="shared" si="10"/>
        <v>0</v>
      </c>
      <c r="M22" s="4">
        <f t="shared" si="11"/>
        <v>0</v>
      </c>
      <c r="N22" s="4">
        <f t="shared" si="12"/>
        <v>0</v>
      </c>
      <c r="O22" s="4">
        <f t="shared" si="13"/>
        <v>0</v>
      </c>
      <c r="P22" s="4">
        <f t="shared" si="14"/>
        <v>6</v>
      </c>
      <c r="Q22" s="4">
        <f t="shared" si="15"/>
        <v>0</v>
      </c>
      <c r="R22" s="4">
        <f t="shared" si="16"/>
        <v>0</v>
      </c>
      <c r="S22" s="4">
        <f t="shared" si="17"/>
        <v>0</v>
      </c>
      <c r="T22" s="4">
        <f t="shared" si="18"/>
        <v>0</v>
      </c>
    </row>
    <row r="23" spans="1:20">
      <c r="A23" s="4">
        <f>MIN(StopFreqGHz+0.000001,'7227'!A22+FreqStep)</f>
        <v>9.6040000000000045</v>
      </c>
      <c r="B23" s="4">
        <f t="shared" si="19"/>
        <v>18.597040000000003</v>
      </c>
      <c r="C23" s="4">
        <f t="shared" si="1"/>
        <v>16.100000000000001</v>
      </c>
      <c r="D23" s="4">
        <f t="shared" si="2"/>
        <v>0.26</v>
      </c>
      <c r="E23" s="4">
        <f t="shared" si="3"/>
        <v>4</v>
      </c>
      <c r="F23" s="4">
        <f t="shared" si="4"/>
        <v>-8</v>
      </c>
      <c r="G23" s="4">
        <f t="shared" si="5"/>
        <v>-11</v>
      </c>
      <c r="H23" s="4">
        <f t="shared" si="6"/>
        <v>0.3</v>
      </c>
      <c r="I23" s="4">
        <f t="shared" si="7"/>
        <v>6</v>
      </c>
      <c r="J23" s="4">
        <f t="shared" si="20"/>
        <v>6</v>
      </c>
      <c r="K23" s="4">
        <f t="shared" si="9"/>
        <v>0</v>
      </c>
      <c r="L23" s="4">
        <f t="shared" si="10"/>
        <v>0</v>
      </c>
      <c r="M23" s="4">
        <f t="shared" si="11"/>
        <v>0</v>
      </c>
      <c r="N23" s="4">
        <f t="shared" si="12"/>
        <v>0</v>
      </c>
      <c r="O23" s="4">
        <f t="shared" si="13"/>
        <v>0</v>
      </c>
      <c r="P23" s="4">
        <f t="shared" si="14"/>
        <v>6</v>
      </c>
      <c r="Q23" s="4">
        <f t="shared" si="15"/>
        <v>0</v>
      </c>
      <c r="R23" s="4">
        <f t="shared" si="16"/>
        <v>0</v>
      </c>
      <c r="S23" s="4">
        <f t="shared" si="17"/>
        <v>0</v>
      </c>
      <c r="T23" s="4">
        <f t="shared" si="18"/>
        <v>0</v>
      </c>
    </row>
    <row r="24" spans="1:20">
      <c r="A24" s="4">
        <f>MIN(StopFreqGHz+0.000001,'7227'!A23+FreqStep)</f>
        <v>10.132000000000005</v>
      </c>
      <c r="B24" s="4">
        <f t="shared" si="19"/>
        <v>18.734320000000004</v>
      </c>
      <c r="C24" s="4">
        <f t="shared" si="1"/>
        <v>16.100000000000001</v>
      </c>
      <c r="D24" s="4">
        <f t="shared" si="2"/>
        <v>0.26</v>
      </c>
      <c r="E24" s="4">
        <f t="shared" si="3"/>
        <v>4</v>
      </c>
      <c r="F24" s="4">
        <f t="shared" si="4"/>
        <v>-8</v>
      </c>
      <c r="G24" s="4">
        <f t="shared" si="5"/>
        <v>-11</v>
      </c>
      <c r="H24" s="4">
        <f t="shared" si="6"/>
        <v>0.3</v>
      </c>
      <c r="I24" s="4">
        <f t="shared" si="7"/>
        <v>6</v>
      </c>
      <c r="J24" s="4">
        <f t="shared" si="20"/>
        <v>6</v>
      </c>
      <c r="K24" s="4">
        <f t="shared" si="9"/>
        <v>0</v>
      </c>
      <c r="L24" s="4">
        <f t="shared" si="10"/>
        <v>0</v>
      </c>
      <c r="M24" s="4">
        <f t="shared" si="11"/>
        <v>0</v>
      </c>
      <c r="N24" s="4">
        <f t="shared" si="12"/>
        <v>0</v>
      </c>
      <c r="O24" s="4">
        <f t="shared" si="13"/>
        <v>0</v>
      </c>
      <c r="P24" s="4">
        <f t="shared" si="14"/>
        <v>6</v>
      </c>
      <c r="Q24" s="4">
        <f t="shared" si="15"/>
        <v>0</v>
      </c>
      <c r="R24" s="4">
        <f t="shared" si="16"/>
        <v>0</v>
      </c>
      <c r="S24" s="4">
        <f t="shared" si="17"/>
        <v>0</v>
      </c>
      <c r="T24" s="4">
        <f t="shared" si="18"/>
        <v>0</v>
      </c>
    </row>
    <row r="25" spans="1:20">
      <c r="A25" s="4">
        <f>MIN(StopFreqGHz+0.000001,'7227'!A24+FreqStep)</f>
        <v>10.660000000000005</v>
      </c>
      <c r="B25" s="4">
        <f t="shared" si="19"/>
        <v>18.871600000000004</v>
      </c>
      <c r="C25" s="4">
        <f t="shared" si="1"/>
        <v>16.100000000000001</v>
      </c>
      <c r="D25" s="4">
        <f t="shared" si="2"/>
        <v>0.26</v>
      </c>
      <c r="E25" s="4">
        <f t="shared" si="3"/>
        <v>4</v>
      </c>
      <c r="F25" s="4">
        <f t="shared" si="4"/>
        <v>-8</v>
      </c>
      <c r="G25" s="4">
        <f t="shared" si="5"/>
        <v>-11</v>
      </c>
      <c r="H25" s="4">
        <f t="shared" si="6"/>
        <v>0.3</v>
      </c>
      <c r="I25" s="4">
        <f t="shared" si="7"/>
        <v>6</v>
      </c>
      <c r="J25" s="4">
        <f t="shared" si="20"/>
        <v>6</v>
      </c>
      <c r="K25" s="4">
        <f t="shared" si="9"/>
        <v>0</v>
      </c>
      <c r="L25" s="4">
        <f t="shared" si="10"/>
        <v>0</v>
      </c>
      <c r="M25" s="4">
        <f t="shared" si="11"/>
        <v>0</v>
      </c>
      <c r="N25" s="4">
        <f t="shared" si="12"/>
        <v>0</v>
      </c>
      <c r="O25" s="4">
        <f t="shared" si="13"/>
        <v>0</v>
      </c>
      <c r="P25" s="4">
        <f t="shared" si="14"/>
        <v>6</v>
      </c>
      <c r="Q25" s="4">
        <f t="shared" si="15"/>
        <v>0</v>
      </c>
      <c r="R25" s="4">
        <f t="shared" si="16"/>
        <v>0</v>
      </c>
      <c r="S25" s="4">
        <f t="shared" si="17"/>
        <v>0</v>
      </c>
      <c r="T25" s="4">
        <f t="shared" si="18"/>
        <v>0</v>
      </c>
    </row>
    <row r="26" spans="1:20">
      <c r="A26" s="4">
        <f>MIN(StopFreqGHz+0.000001,'7227'!A25+FreqStep)</f>
        <v>11.188000000000006</v>
      </c>
      <c r="B26" s="4">
        <f t="shared" si="19"/>
        <v>19.008880000000005</v>
      </c>
      <c r="C26" s="4">
        <f t="shared" si="1"/>
        <v>16.100000000000001</v>
      </c>
      <c r="D26" s="4">
        <f t="shared" si="2"/>
        <v>0.26</v>
      </c>
      <c r="E26" s="4">
        <f t="shared" si="3"/>
        <v>4</v>
      </c>
      <c r="F26" s="4">
        <f t="shared" si="4"/>
        <v>-8</v>
      </c>
      <c r="G26" s="4">
        <f t="shared" si="5"/>
        <v>-11</v>
      </c>
      <c r="H26" s="4">
        <f t="shared" si="6"/>
        <v>0.3</v>
      </c>
      <c r="I26" s="4">
        <f t="shared" si="7"/>
        <v>6</v>
      </c>
      <c r="J26" s="4">
        <f t="shared" si="20"/>
        <v>6</v>
      </c>
      <c r="K26" s="4">
        <f t="shared" si="9"/>
        <v>0</v>
      </c>
      <c r="L26" s="4">
        <f t="shared" si="10"/>
        <v>0</v>
      </c>
      <c r="M26" s="4">
        <f t="shared" si="11"/>
        <v>0</v>
      </c>
      <c r="N26" s="4">
        <f t="shared" si="12"/>
        <v>0</v>
      </c>
      <c r="O26" s="4">
        <f t="shared" si="13"/>
        <v>0</v>
      </c>
      <c r="P26" s="4">
        <f t="shared" si="14"/>
        <v>6</v>
      </c>
      <c r="Q26" s="4">
        <f t="shared" si="15"/>
        <v>0</v>
      </c>
      <c r="R26" s="4">
        <f t="shared" si="16"/>
        <v>0</v>
      </c>
      <c r="S26" s="4">
        <f t="shared" si="17"/>
        <v>0</v>
      </c>
      <c r="T26" s="4">
        <f t="shared" si="18"/>
        <v>0</v>
      </c>
    </row>
    <row r="27" spans="1:20">
      <c r="A27" s="4">
        <f>MIN(StopFreqGHz+0.000001,'7227'!A26+FreqStep)</f>
        <v>11.716000000000006</v>
      </c>
      <c r="B27" s="4">
        <f t="shared" si="19"/>
        <v>19.146160000000002</v>
      </c>
      <c r="C27" s="4">
        <f t="shared" si="1"/>
        <v>16.100000000000001</v>
      </c>
      <c r="D27" s="4">
        <f t="shared" si="2"/>
        <v>0.26</v>
      </c>
      <c r="E27" s="4">
        <f t="shared" si="3"/>
        <v>4</v>
      </c>
      <c r="F27" s="4">
        <f t="shared" si="4"/>
        <v>-8</v>
      </c>
      <c r="G27" s="4">
        <f t="shared" si="5"/>
        <v>-11</v>
      </c>
      <c r="H27" s="4">
        <f t="shared" si="6"/>
        <v>0.3</v>
      </c>
      <c r="I27" s="4">
        <f t="shared" si="7"/>
        <v>6</v>
      </c>
      <c r="J27" s="4">
        <f t="shared" si="20"/>
        <v>6</v>
      </c>
      <c r="K27" s="4">
        <f t="shared" si="9"/>
        <v>0</v>
      </c>
      <c r="L27" s="4">
        <f t="shared" si="10"/>
        <v>0</v>
      </c>
      <c r="M27" s="4">
        <f t="shared" si="11"/>
        <v>0</v>
      </c>
      <c r="N27" s="4">
        <f t="shared" si="12"/>
        <v>0</v>
      </c>
      <c r="O27" s="4">
        <f t="shared" si="13"/>
        <v>0</v>
      </c>
      <c r="P27" s="4">
        <f t="shared" si="14"/>
        <v>6</v>
      </c>
      <c r="Q27" s="4">
        <f t="shared" si="15"/>
        <v>0</v>
      </c>
      <c r="R27" s="4">
        <f t="shared" si="16"/>
        <v>0</v>
      </c>
      <c r="S27" s="4">
        <f t="shared" si="17"/>
        <v>0</v>
      </c>
      <c r="T27" s="4">
        <f t="shared" si="18"/>
        <v>0</v>
      </c>
    </row>
    <row r="28" spans="1:20">
      <c r="A28" s="4">
        <f>MIN(StopFreqGHz+0.000001,'7227'!A27+FreqStep)</f>
        <v>12.244000000000007</v>
      </c>
      <c r="B28" s="4">
        <f t="shared" si="19"/>
        <v>19.283440000000002</v>
      </c>
      <c r="C28" s="4">
        <f t="shared" si="1"/>
        <v>16.100000000000001</v>
      </c>
      <c r="D28" s="4">
        <f t="shared" si="2"/>
        <v>0.26</v>
      </c>
      <c r="E28" s="4">
        <f t="shared" si="3"/>
        <v>4</v>
      </c>
      <c r="F28" s="4">
        <f t="shared" si="4"/>
        <v>-8</v>
      </c>
      <c r="G28" s="4">
        <f t="shared" si="5"/>
        <v>-11</v>
      </c>
      <c r="H28" s="4">
        <f t="shared" si="6"/>
        <v>0.3</v>
      </c>
      <c r="I28" s="4">
        <f t="shared" si="7"/>
        <v>6</v>
      </c>
      <c r="J28" s="4">
        <f t="shared" si="20"/>
        <v>6</v>
      </c>
      <c r="K28" s="4">
        <f t="shared" si="9"/>
        <v>0</v>
      </c>
      <c r="L28" s="4">
        <f t="shared" si="10"/>
        <v>0</v>
      </c>
      <c r="M28" s="4">
        <f t="shared" si="11"/>
        <v>0</v>
      </c>
      <c r="N28" s="4">
        <f t="shared" si="12"/>
        <v>0</v>
      </c>
      <c r="O28" s="4">
        <f t="shared" si="13"/>
        <v>0</v>
      </c>
      <c r="P28" s="4">
        <f t="shared" si="14"/>
        <v>6</v>
      </c>
      <c r="Q28" s="4">
        <f t="shared" si="15"/>
        <v>0</v>
      </c>
      <c r="R28" s="4">
        <f t="shared" si="16"/>
        <v>0</v>
      </c>
      <c r="S28" s="4">
        <f t="shared" si="17"/>
        <v>0</v>
      </c>
      <c r="T28" s="4">
        <f t="shared" si="18"/>
        <v>0</v>
      </c>
    </row>
    <row r="29" spans="1:20">
      <c r="A29" s="4">
        <f>MIN(StopFreqGHz+0.000001,'7227'!A28+FreqStep)</f>
        <v>12.772000000000007</v>
      </c>
      <c r="B29" s="4">
        <f t="shared" si="19"/>
        <v>19.420720000000003</v>
      </c>
      <c r="C29" s="4">
        <f t="shared" si="1"/>
        <v>16.100000000000001</v>
      </c>
      <c r="D29" s="4">
        <f t="shared" si="2"/>
        <v>0.26</v>
      </c>
      <c r="E29" s="4">
        <f t="shared" si="3"/>
        <v>4</v>
      </c>
      <c r="F29" s="4">
        <f t="shared" si="4"/>
        <v>-8</v>
      </c>
      <c r="G29" s="4">
        <f t="shared" si="5"/>
        <v>-11</v>
      </c>
      <c r="H29" s="4">
        <f t="shared" si="6"/>
        <v>0.3</v>
      </c>
      <c r="I29" s="4">
        <f t="shared" si="7"/>
        <v>6</v>
      </c>
      <c r="J29" s="4">
        <f t="shared" si="20"/>
        <v>6</v>
      </c>
      <c r="K29" s="4">
        <f t="shared" si="9"/>
        <v>0</v>
      </c>
      <c r="L29" s="4">
        <f t="shared" si="10"/>
        <v>0</v>
      </c>
      <c r="M29" s="4">
        <f t="shared" si="11"/>
        <v>0</v>
      </c>
      <c r="N29" s="4">
        <f t="shared" si="12"/>
        <v>0</v>
      </c>
      <c r="O29" s="4">
        <f t="shared" si="13"/>
        <v>0</v>
      </c>
      <c r="P29" s="4">
        <f t="shared" si="14"/>
        <v>6</v>
      </c>
      <c r="Q29" s="4">
        <f t="shared" si="15"/>
        <v>0</v>
      </c>
      <c r="R29" s="4">
        <f t="shared" si="16"/>
        <v>0</v>
      </c>
      <c r="S29" s="4">
        <f t="shared" si="17"/>
        <v>0</v>
      </c>
      <c r="T29" s="4">
        <f t="shared" si="18"/>
        <v>0</v>
      </c>
    </row>
    <row r="30" spans="1:20">
      <c r="A30" s="4">
        <f>MIN(StopFreqGHz+0.000001,'7227'!A29+FreqStep)</f>
        <v>13.300000000000008</v>
      </c>
      <c r="B30" s="4">
        <f t="shared" si="19"/>
        <v>19.558000000000003</v>
      </c>
      <c r="C30" s="4">
        <f t="shared" si="1"/>
        <v>16.100000000000001</v>
      </c>
      <c r="D30" s="4">
        <f t="shared" si="2"/>
        <v>0.26</v>
      </c>
      <c r="E30" s="4">
        <f t="shared" si="3"/>
        <v>4</v>
      </c>
      <c r="F30" s="4">
        <f t="shared" si="4"/>
        <v>-8</v>
      </c>
      <c r="G30" s="4">
        <f t="shared" si="5"/>
        <v>-11</v>
      </c>
      <c r="H30" s="4">
        <f t="shared" si="6"/>
        <v>0.3</v>
      </c>
      <c r="I30" s="4">
        <f t="shared" si="7"/>
        <v>6</v>
      </c>
      <c r="J30" s="4">
        <f t="shared" si="20"/>
        <v>6</v>
      </c>
      <c r="K30" s="4">
        <f t="shared" si="9"/>
        <v>0</v>
      </c>
      <c r="L30" s="4">
        <f t="shared" si="10"/>
        <v>0</v>
      </c>
      <c r="M30" s="4">
        <f t="shared" si="11"/>
        <v>0</v>
      </c>
      <c r="N30" s="4">
        <f t="shared" si="12"/>
        <v>0</v>
      </c>
      <c r="O30" s="4">
        <f t="shared" si="13"/>
        <v>0</v>
      </c>
      <c r="P30" s="4">
        <f t="shared" si="14"/>
        <v>6</v>
      </c>
      <c r="Q30" s="4">
        <f t="shared" si="15"/>
        <v>0</v>
      </c>
      <c r="R30" s="4">
        <f t="shared" si="16"/>
        <v>0</v>
      </c>
      <c r="S30" s="4">
        <f t="shared" si="17"/>
        <v>0</v>
      </c>
      <c r="T30" s="4">
        <f t="shared" si="18"/>
        <v>0</v>
      </c>
    </row>
    <row r="31" spans="1:20">
      <c r="A31" s="4">
        <f>MIN(StopFreqGHz+0.000001,'7227'!A30+FreqStep)</f>
        <v>13.828000000000008</v>
      </c>
      <c r="B31" s="4">
        <f t="shared" si="19"/>
        <v>19.695280000000004</v>
      </c>
      <c r="C31" s="4">
        <f t="shared" si="1"/>
        <v>16.100000000000001</v>
      </c>
      <c r="D31" s="4">
        <f t="shared" si="2"/>
        <v>0.26</v>
      </c>
      <c r="E31" s="4">
        <f t="shared" si="3"/>
        <v>4</v>
      </c>
      <c r="F31" s="4">
        <f t="shared" si="4"/>
        <v>-8</v>
      </c>
      <c r="G31" s="4">
        <f t="shared" si="5"/>
        <v>-11</v>
      </c>
      <c r="H31" s="4">
        <f t="shared" si="6"/>
        <v>0.3</v>
      </c>
      <c r="I31" s="4">
        <f t="shared" si="7"/>
        <v>6</v>
      </c>
      <c r="J31" s="4">
        <f t="shared" si="20"/>
        <v>6</v>
      </c>
      <c r="K31" s="4">
        <f t="shared" si="9"/>
        <v>0</v>
      </c>
      <c r="L31" s="4">
        <f t="shared" si="10"/>
        <v>0</v>
      </c>
      <c r="M31" s="4">
        <f t="shared" si="11"/>
        <v>0</v>
      </c>
      <c r="N31" s="4">
        <f t="shared" si="12"/>
        <v>0</v>
      </c>
      <c r="O31" s="4">
        <f t="shared" si="13"/>
        <v>0</v>
      </c>
      <c r="P31" s="4">
        <f t="shared" si="14"/>
        <v>6</v>
      </c>
      <c r="Q31" s="4">
        <f t="shared" si="15"/>
        <v>0</v>
      </c>
      <c r="R31" s="4">
        <f t="shared" si="16"/>
        <v>0</v>
      </c>
      <c r="S31" s="4">
        <f t="shared" si="17"/>
        <v>0</v>
      </c>
      <c r="T31" s="4">
        <f t="shared" si="18"/>
        <v>0</v>
      </c>
    </row>
    <row r="32" spans="1:20">
      <c r="A32" s="4">
        <f>MIN(StopFreqGHz+0.000001,'7227'!A31+FreqStep)</f>
        <v>14.356000000000009</v>
      </c>
      <c r="B32" s="4">
        <f t="shared" si="19"/>
        <v>19.832560000000004</v>
      </c>
      <c r="C32" s="4">
        <f t="shared" si="1"/>
        <v>16.100000000000001</v>
      </c>
      <c r="D32" s="4">
        <f t="shared" si="2"/>
        <v>0.26</v>
      </c>
      <c r="E32" s="4">
        <f t="shared" si="3"/>
        <v>4</v>
      </c>
      <c r="F32" s="4">
        <f t="shared" si="4"/>
        <v>-8</v>
      </c>
      <c r="G32" s="4">
        <f t="shared" si="5"/>
        <v>-11</v>
      </c>
      <c r="H32" s="4">
        <f t="shared" si="6"/>
        <v>0.3</v>
      </c>
      <c r="I32" s="4">
        <f t="shared" si="7"/>
        <v>6</v>
      </c>
      <c r="J32" s="4">
        <f t="shared" si="20"/>
        <v>6</v>
      </c>
      <c r="K32" s="4">
        <f t="shared" si="9"/>
        <v>0</v>
      </c>
      <c r="L32" s="4">
        <f t="shared" si="10"/>
        <v>0</v>
      </c>
      <c r="M32" s="4">
        <f t="shared" si="11"/>
        <v>0</v>
      </c>
      <c r="N32" s="4">
        <f t="shared" si="12"/>
        <v>0</v>
      </c>
      <c r="O32" s="4">
        <f t="shared" si="13"/>
        <v>0</v>
      </c>
      <c r="P32" s="4">
        <f t="shared" si="14"/>
        <v>6</v>
      </c>
      <c r="Q32" s="4">
        <f t="shared" si="15"/>
        <v>0</v>
      </c>
      <c r="R32" s="4">
        <f t="shared" si="16"/>
        <v>0</v>
      </c>
      <c r="S32" s="4">
        <f t="shared" si="17"/>
        <v>0</v>
      </c>
      <c r="T32" s="4">
        <f t="shared" si="18"/>
        <v>0</v>
      </c>
    </row>
    <row r="33" spans="1:20">
      <c r="A33" s="4">
        <f>MIN(StopFreqGHz+0.000001,'7227'!A32+FreqStep)</f>
        <v>14.884000000000009</v>
      </c>
      <c r="B33" s="4">
        <f t="shared" si="19"/>
        <v>19.969840000000005</v>
      </c>
      <c r="C33" s="4">
        <f t="shared" si="1"/>
        <v>16.100000000000001</v>
      </c>
      <c r="D33" s="4">
        <f t="shared" si="2"/>
        <v>0.26</v>
      </c>
      <c r="E33" s="4">
        <f t="shared" si="3"/>
        <v>4</v>
      </c>
      <c r="F33" s="4">
        <f t="shared" si="4"/>
        <v>-8</v>
      </c>
      <c r="G33" s="4">
        <f t="shared" si="5"/>
        <v>-11</v>
      </c>
      <c r="H33" s="4">
        <f t="shared" si="6"/>
        <v>0.3</v>
      </c>
      <c r="I33" s="4">
        <f t="shared" si="7"/>
        <v>6</v>
      </c>
      <c r="J33" s="4">
        <f t="shared" si="20"/>
        <v>6</v>
      </c>
      <c r="K33" s="4">
        <f t="shared" si="9"/>
        <v>0</v>
      </c>
      <c r="L33" s="4">
        <f t="shared" si="10"/>
        <v>0</v>
      </c>
      <c r="M33" s="4">
        <f t="shared" si="11"/>
        <v>0</v>
      </c>
      <c r="N33" s="4">
        <f t="shared" si="12"/>
        <v>0</v>
      </c>
      <c r="O33" s="4">
        <f t="shared" si="13"/>
        <v>0</v>
      </c>
      <c r="P33" s="4">
        <f t="shared" si="14"/>
        <v>6</v>
      </c>
      <c r="Q33" s="4">
        <f t="shared" si="15"/>
        <v>0</v>
      </c>
      <c r="R33" s="4">
        <f t="shared" si="16"/>
        <v>0</v>
      </c>
      <c r="S33" s="4">
        <f t="shared" si="17"/>
        <v>0</v>
      </c>
      <c r="T33" s="4">
        <f t="shared" si="18"/>
        <v>0</v>
      </c>
    </row>
    <row r="34" spans="1:20">
      <c r="A34" s="4">
        <f>MIN(StopFreqGHz+0.000001,'7227'!A33+FreqStep)</f>
        <v>15.41200000000001</v>
      </c>
      <c r="B34" s="4">
        <f t="shared" si="19"/>
        <v>20.107120000000002</v>
      </c>
      <c r="C34" s="4">
        <f t="shared" si="1"/>
        <v>16.100000000000001</v>
      </c>
      <c r="D34" s="4">
        <f t="shared" si="2"/>
        <v>0.26</v>
      </c>
      <c r="E34" s="4">
        <f t="shared" si="3"/>
        <v>4</v>
      </c>
      <c r="F34" s="4">
        <f t="shared" si="4"/>
        <v>-8</v>
      </c>
      <c r="G34" s="4">
        <f t="shared" si="5"/>
        <v>-11</v>
      </c>
      <c r="H34" s="4">
        <f t="shared" si="6"/>
        <v>0.3</v>
      </c>
      <c r="I34" s="4">
        <f t="shared" si="7"/>
        <v>6</v>
      </c>
      <c r="J34" s="4">
        <f t="shared" si="20"/>
        <v>6</v>
      </c>
      <c r="K34" s="4">
        <f t="shared" si="9"/>
        <v>0</v>
      </c>
      <c r="L34" s="4">
        <f t="shared" si="10"/>
        <v>0</v>
      </c>
      <c r="M34" s="4">
        <f t="shared" si="11"/>
        <v>0</v>
      </c>
      <c r="N34" s="4">
        <f t="shared" si="12"/>
        <v>0</v>
      </c>
      <c r="O34" s="4">
        <f t="shared" si="13"/>
        <v>0</v>
      </c>
      <c r="P34" s="4">
        <f t="shared" si="14"/>
        <v>6</v>
      </c>
      <c r="Q34" s="4">
        <f t="shared" si="15"/>
        <v>0</v>
      </c>
      <c r="R34" s="4">
        <f t="shared" si="16"/>
        <v>0</v>
      </c>
      <c r="S34" s="4">
        <f t="shared" si="17"/>
        <v>0</v>
      </c>
      <c r="T34" s="4">
        <f t="shared" si="18"/>
        <v>0</v>
      </c>
    </row>
    <row r="35" spans="1:20">
      <c r="A35" s="4">
        <f>MIN(StopFreqGHz+0.000001,'7227'!A34+FreqStep)</f>
        <v>15.94000000000001</v>
      </c>
      <c r="B35" s="4">
        <f t="shared" si="19"/>
        <v>20.244400000000006</v>
      </c>
      <c r="C35" s="4">
        <f t="shared" si="1"/>
        <v>16.100000000000001</v>
      </c>
      <c r="D35" s="4">
        <f t="shared" si="2"/>
        <v>0.26</v>
      </c>
      <c r="E35" s="4">
        <f t="shared" si="3"/>
        <v>4</v>
      </c>
      <c r="F35" s="4">
        <f t="shared" si="4"/>
        <v>-8</v>
      </c>
      <c r="G35" s="4">
        <f t="shared" si="5"/>
        <v>-11</v>
      </c>
      <c r="H35" s="4">
        <f t="shared" si="6"/>
        <v>0.3</v>
      </c>
      <c r="I35" s="4">
        <f t="shared" si="7"/>
        <v>6</v>
      </c>
      <c r="J35" s="4">
        <f t="shared" si="20"/>
        <v>6</v>
      </c>
      <c r="K35" s="4">
        <f t="shared" si="9"/>
        <v>0</v>
      </c>
      <c r="L35" s="4">
        <f t="shared" si="10"/>
        <v>0</v>
      </c>
      <c r="M35" s="4">
        <f t="shared" si="11"/>
        <v>0</v>
      </c>
      <c r="N35" s="4">
        <f t="shared" si="12"/>
        <v>0</v>
      </c>
      <c r="O35" s="4">
        <f t="shared" si="13"/>
        <v>0</v>
      </c>
      <c r="P35" s="4">
        <f t="shared" si="14"/>
        <v>6</v>
      </c>
      <c r="Q35" s="4">
        <f t="shared" si="15"/>
        <v>0</v>
      </c>
      <c r="R35" s="4">
        <f t="shared" si="16"/>
        <v>0</v>
      </c>
      <c r="S35" s="4">
        <f t="shared" si="17"/>
        <v>0</v>
      </c>
      <c r="T35" s="4">
        <f t="shared" si="18"/>
        <v>0</v>
      </c>
    </row>
    <row r="36" spans="1:20">
      <c r="A36" s="4">
        <f>MIN(StopFreqGHz+0.000001,'7227'!A35+FreqStep)</f>
        <v>16.468000000000011</v>
      </c>
      <c r="B36" s="4">
        <f t="shared" si="19"/>
        <v>20.381680000000003</v>
      </c>
      <c r="C36" s="4">
        <f t="shared" si="1"/>
        <v>16.100000000000001</v>
      </c>
      <c r="D36" s="4">
        <f t="shared" si="2"/>
        <v>0.26</v>
      </c>
      <c r="E36" s="4">
        <f t="shared" si="3"/>
        <v>4</v>
      </c>
      <c r="F36" s="4">
        <f t="shared" si="4"/>
        <v>-8</v>
      </c>
      <c r="G36" s="4">
        <f t="shared" si="5"/>
        <v>-11</v>
      </c>
      <c r="H36" s="4">
        <f t="shared" si="6"/>
        <v>0.3</v>
      </c>
      <c r="I36" s="4">
        <f t="shared" si="7"/>
        <v>6</v>
      </c>
      <c r="J36" s="4">
        <f t="shared" si="20"/>
        <v>6</v>
      </c>
      <c r="K36" s="4">
        <f t="shared" si="9"/>
        <v>0</v>
      </c>
      <c r="L36" s="4">
        <f t="shared" si="10"/>
        <v>0</v>
      </c>
      <c r="M36" s="4">
        <f t="shared" si="11"/>
        <v>0</v>
      </c>
      <c r="N36" s="4">
        <f t="shared" si="12"/>
        <v>0</v>
      </c>
      <c r="O36" s="4">
        <f t="shared" si="13"/>
        <v>0</v>
      </c>
      <c r="P36" s="4">
        <f t="shared" si="14"/>
        <v>6</v>
      </c>
      <c r="Q36" s="4">
        <f t="shared" si="15"/>
        <v>0</v>
      </c>
      <c r="R36" s="4">
        <f t="shared" si="16"/>
        <v>0</v>
      </c>
      <c r="S36" s="4">
        <f t="shared" si="17"/>
        <v>0</v>
      </c>
      <c r="T36" s="4">
        <f t="shared" si="18"/>
        <v>0</v>
      </c>
    </row>
    <row r="37" spans="1:20">
      <c r="A37" s="4">
        <f>MIN(StopFreqGHz+0.000001,'7227'!A36+FreqStep)</f>
        <v>16.996000000000009</v>
      </c>
      <c r="B37" s="4">
        <f t="shared" si="19"/>
        <v>20.518960000000003</v>
      </c>
      <c r="C37" s="4">
        <f t="shared" si="1"/>
        <v>16.100000000000001</v>
      </c>
      <c r="D37" s="4">
        <f t="shared" si="2"/>
        <v>0.26</v>
      </c>
      <c r="E37" s="4">
        <f t="shared" si="3"/>
        <v>4</v>
      </c>
      <c r="F37" s="4">
        <f t="shared" si="4"/>
        <v>-8</v>
      </c>
      <c r="G37" s="4">
        <f t="shared" si="5"/>
        <v>-11</v>
      </c>
      <c r="H37" s="4">
        <f t="shared" si="6"/>
        <v>0.3</v>
      </c>
      <c r="I37" s="4">
        <f t="shared" si="7"/>
        <v>6</v>
      </c>
      <c r="J37" s="4">
        <f t="shared" si="20"/>
        <v>6</v>
      </c>
      <c r="K37" s="4">
        <f t="shared" si="9"/>
        <v>0</v>
      </c>
      <c r="L37" s="4">
        <f t="shared" si="10"/>
        <v>0</v>
      </c>
      <c r="M37" s="4">
        <f t="shared" si="11"/>
        <v>0</v>
      </c>
      <c r="N37" s="4">
        <f t="shared" si="12"/>
        <v>0</v>
      </c>
      <c r="O37" s="4">
        <f t="shared" si="13"/>
        <v>0</v>
      </c>
      <c r="P37" s="4">
        <f t="shared" si="14"/>
        <v>6</v>
      </c>
      <c r="Q37" s="4">
        <f t="shared" si="15"/>
        <v>0</v>
      </c>
      <c r="R37" s="4">
        <f t="shared" si="16"/>
        <v>0</v>
      </c>
      <c r="S37" s="4">
        <f t="shared" si="17"/>
        <v>0</v>
      </c>
      <c r="T37" s="4">
        <f t="shared" si="18"/>
        <v>0</v>
      </c>
    </row>
    <row r="38" spans="1:20">
      <c r="A38" s="4">
        <f>MIN(StopFreqGHz+0.000001,'7227'!A37+FreqStep)</f>
        <v>17.524000000000008</v>
      </c>
      <c r="B38" s="4">
        <f t="shared" si="19"/>
        <v>20.656240000000004</v>
      </c>
      <c r="C38" s="4">
        <f t="shared" si="1"/>
        <v>16.100000000000001</v>
      </c>
      <c r="D38" s="4">
        <f t="shared" si="2"/>
        <v>0.26</v>
      </c>
      <c r="E38" s="4">
        <f t="shared" si="3"/>
        <v>4</v>
      </c>
      <c r="F38" s="4">
        <f t="shared" si="4"/>
        <v>-8</v>
      </c>
      <c r="G38" s="4">
        <f t="shared" si="5"/>
        <v>-11</v>
      </c>
      <c r="H38" s="4">
        <f t="shared" si="6"/>
        <v>0.3</v>
      </c>
      <c r="I38" s="4">
        <f t="shared" si="7"/>
        <v>6</v>
      </c>
      <c r="J38" s="4">
        <f t="shared" si="20"/>
        <v>6</v>
      </c>
      <c r="K38" s="4">
        <f t="shared" si="9"/>
        <v>0</v>
      </c>
      <c r="L38" s="4">
        <f t="shared" si="10"/>
        <v>0</v>
      </c>
      <c r="M38" s="4">
        <f t="shared" si="11"/>
        <v>0</v>
      </c>
      <c r="N38" s="4">
        <f t="shared" si="12"/>
        <v>0</v>
      </c>
      <c r="O38" s="4">
        <f t="shared" si="13"/>
        <v>0</v>
      </c>
      <c r="P38" s="4">
        <f t="shared" si="14"/>
        <v>6</v>
      </c>
      <c r="Q38" s="4">
        <f t="shared" si="15"/>
        <v>0</v>
      </c>
      <c r="R38" s="4">
        <f t="shared" si="16"/>
        <v>0</v>
      </c>
      <c r="S38" s="4">
        <f t="shared" si="17"/>
        <v>0</v>
      </c>
      <c r="T38" s="4">
        <f t="shared" si="18"/>
        <v>0</v>
      </c>
    </row>
    <row r="39" spans="1:20">
      <c r="A39" s="4">
        <f>MIN(StopFreqGHz+0.000001,'7227'!A38+FreqStep)</f>
        <v>18.052000000000007</v>
      </c>
      <c r="B39" s="4">
        <f t="shared" si="19"/>
        <v>20.793520000000004</v>
      </c>
      <c r="C39" s="4">
        <f t="shared" si="1"/>
        <v>16.100000000000001</v>
      </c>
      <c r="D39" s="4">
        <f t="shared" si="2"/>
        <v>0.26</v>
      </c>
      <c r="E39" s="4">
        <f t="shared" si="3"/>
        <v>4</v>
      </c>
      <c r="F39" s="4">
        <f t="shared" si="4"/>
        <v>-8</v>
      </c>
      <c r="G39" s="4">
        <f t="shared" si="5"/>
        <v>-11</v>
      </c>
      <c r="H39" s="4">
        <f t="shared" si="6"/>
        <v>0.3</v>
      </c>
      <c r="I39" s="4">
        <f t="shared" si="7"/>
        <v>6</v>
      </c>
      <c r="J39" s="4">
        <f t="shared" si="20"/>
        <v>6</v>
      </c>
      <c r="K39" s="4">
        <f t="shared" si="9"/>
        <v>0</v>
      </c>
      <c r="L39" s="4">
        <f t="shared" si="10"/>
        <v>0</v>
      </c>
      <c r="M39" s="4">
        <f t="shared" si="11"/>
        <v>0</v>
      </c>
      <c r="N39" s="4">
        <f t="shared" si="12"/>
        <v>0</v>
      </c>
      <c r="O39" s="4">
        <f t="shared" si="13"/>
        <v>0</v>
      </c>
      <c r="P39" s="4">
        <f t="shared" si="14"/>
        <v>6</v>
      </c>
      <c r="Q39" s="4">
        <f t="shared" si="15"/>
        <v>0</v>
      </c>
      <c r="R39" s="4">
        <f t="shared" si="16"/>
        <v>0</v>
      </c>
      <c r="S39" s="4">
        <f t="shared" si="17"/>
        <v>0</v>
      </c>
      <c r="T39" s="4">
        <f t="shared" si="18"/>
        <v>0</v>
      </c>
    </row>
    <row r="40" spans="1:20">
      <c r="A40" s="4">
        <f>MIN(StopFreqGHz+0.000001,'7227'!A39+FreqStep)</f>
        <v>18.580000000000005</v>
      </c>
      <c r="B40" s="4">
        <f t="shared" si="19"/>
        <v>20.930800000000005</v>
      </c>
      <c r="C40" s="4">
        <f t="shared" si="1"/>
        <v>16.100000000000001</v>
      </c>
      <c r="D40" s="4">
        <f t="shared" si="2"/>
        <v>0.26</v>
      </c>
      <c r="E40" s="4">
        <f t="shared" si="3"/>
        <v>5</v>
      </c>
      <c r="F40" s="4">
        <f t="shared" si="4"/>
        <v>-8</v>
      </c>
      <c r="G40" s="4">
        <f t="shared" si="5"/>
        <v>-11</v>
      </c>
      <c r="H40" s="4">
        <f t="shared" si="6"/>
        <v>0.3</v>
      </c>
      <c r="I40" s="4">
        <f t="shared" si="7"/>
        <v>5</v>
      </c>
      <c r="J40" s="4">
        <f t="shared" si="20"/>
        <v>7</v>
      </c>
      <c r="K40" s="4">
        <f t="shared" si="9"/>
        <v>0</v>
      </c>
      <c r="L40" s="4">
        <f t="shared" si="10"/>
        <v>0</v>
      </c>
      <c r="M40" s="4">
        <f t="shared" si="11"/>
        <v>0</v>
      </c>
      <c r="N40" s="4">
        <f t="shared" si="12"/>
        <v>0</v>
      </c>
      <c r="O40" s="4">
        <f t="shared" si="13"/>
        <v>0</v>
      </c>
      <c r="P40" s="4">
        <f t="shared" si="14"/>
        <v>0</v>
      </c>
      <c r="Q40" s="4">
        <f t="shared" si="15"/>
        <v>7</v>
      </c>
      <c r="R40" s="4">
        <f t="shared" si="16"/>
        <v>0</v>
      </c>
      <c r="S40" s="4">
        <f t="shared" si="17"/>
        <v>0</v>
      </c>
      <c r="T40" s="4">
        <f t="shared" si="18"/>
        <v>0</v>
      </c>
    </row>
    <row r="41" spans="1:20">
      <c r="A41" s="4">
        <f>MIN(StopFreqGHz+0.000001,'7227'!A40+FreqStep)</f>
        <v>19.108000000000004</v>
      </c>
      <c r="B41" s="4">
        <f t="shared" si="19"/>
        <v>21.068080000000002</v>
      </c>
      <c r="C41" s="4">
        <f t="shared" si="1"/>
        <v>16.100000000000001</v>
      </c>
      <c r="D41" s="4">
        <f t="shared" si="2"/>
        <v>0.26</v>
      </c>
      <c r="E41" s="4">
        <f t="shared" si="3"/>
        <v>5</v>
      </c>
      <c r="F41" s="4">
        <f t="shared" si="4"/>
        <v>-8</v>
      </c>
      <c r="G41" s="4">
        <f t="shared" si="5"/>
        <v>-11</v>
      </c>
      <c r="H41" s="4">
        <f t="shared" si="6"/>
        <v>0.3</v>
      </c>
      <c r="I41" s="4">
        <f t="shared" si="7"/>
        <v>5</v>
      </c>
      <c r="J41" s="4">
        <f t="shared" si="20"/>
        <v>7</v>
      </c>
      <c r="K41" s="4">
        <f t="shared" si="9"/>
        <v>0</v>
      </c>
      <c r="L41" s="4">
        <f t="shared" si="10"/>
        <v>0</v>
      </c>
      <c r="M41" s="4">
        <f t="shared" si="11"/>
        <v>0</v>
      </c>
      <c r="N41" s="4">
        <f t="shared" si="12"/>
        <v>0</v>
      </c>
      <c r="O41" s="4">
        <f t="shared" si="13"/>
        <v>0</v>
      </c>
      <c r="P41" s="4">
        <f t="shared" si="14"/>
        <v>0</v>
      </c>
      <c r="Q41" s="4">
        <f t="shared" si="15"/>
        <v>7</v>
      </c>
      <c r="R41" s="4">
        <f t="shared" si="16"/>
        <v>0</v>
      </c>
      <c r="S41" s="4">
        <f t="shared" si="17"/>
        <v>0</v>
      </c>
      <c r="T41" s="4">
        <f t="shared" si="18"/>
        <v>0</v>
      </c>
    </row>
    <row r="42" spans="1:20">
      <c r="A42" s="4">
        <f>MIN(StopFreqGHz+0.000001,'7227'!A41+FreqStep)</f>
        <v>19.636000000000003</v>
      </c>
      <c r="B42" s="4">
        <f t="shared" si="19"/>
        <v>21.205360000000002</v>
      </c>
      <c r="C42" s="4">
        <f t="shared" si="1"/>
        <v>16.100000000000001</v>
      </c>
      <c r="D42" s="4">
        <f t="shared" si="2"/>
        <v>0.26</v>
      </c>
      <c r="E42" s="4">
        <f t="shared" si="3"/>
        <v>5</v>
      </c>
      <c r="F42" s="4">
        <f t="shared" si="4"/>
        <v>-8</v>
      </c>
      <c r="G42" s="4">
        <f t="shared" si="5"/>
        <v>-11</v>
      </c>
      <c r="H42" s="4">
        <f t="shared" si="6"/>
        <v>0.3</v>
      </c>
      <c r="I42" s="4">
        <f t="shared" si="7"/>
        <v>5</v>
      </c>
      <c r="J42" s="4">
        <f t="shared" si="20"/>
        <v>7</v>
      </c>
      <c r="K42" s="4">
        <f t="shared" si="9"/>
        <v>0</v>
      </c>
      <c r="L42" s="4">
        <f t="shared" si="10"/>
        <v>0</v>
      </c>
      <c r="M42" s="4">
        <f t="shared" si="11"/>
        <v>0</v>
      </c>
      <c r="N42" s="4">
        <f t="shared" si="12"/>
        <v>0</v>
      </c>
      <c r="O42" s="4">
        <f t="shared" si="13"/>
        <v>0</v>
      </c>
      <c r="P42" s="4">
        <f t="shared" si="14"/>
        <v>0</v>
      </c>
      <c r="Q42" s="4">
        <f t="shared" si="15"/>
        <v>7</v>
      </c>
      <c r="R42" s="4">
        <f t="shared" si="16"/>
        <v>0</v>
      </c>
      <c r="S42" s="4">
        <f t="shared" si="17"/>
        <v>0</v>
      </c>
      <c r="T42" s="4">
        <f t="shared" si="18"/>
        <v>0</v>
      </c>
    </row>
    <row r="43" spans="1:20">
      <c r="A43" s="4">
        <f>MIN(StopFreqGHz+0.000001,'7227'!A42+FreqStep)</f>
        <v>20.164000000000001</v>
      </c>
      <c r="B43" s="4">
        <f t="shared" si="19"/>
        <v>21.342640000000003</v>
      </c>
      <c r="C43" s="4">
        <f t="shared" si="1"/>
        <v>16.100000000000001</v>
      </c>
      <c r="D43" s="4">
        <f t="shared" si="2"/>
        <v>0.26</v>
      </c>
      <c r="E43" s="4">
        <f t="shared" si="3"/>
        <v>5</v>
      </c>
      <c r="F43" s="4">
        <f t="shared" si="4"/>
        <v>-8</v>
      </c>
      <c r="G43" s="4">
        <f t="shared" si="5"/>
        <v>-11</v>
      </c>
      <c r="H43" s="4">
        <f t="shared" si="6"/>
        <v>0.3</v>
      </c>
      <c r="I43" s="4">
        <f t="shared" si="7"/>
        <v>5</v>
      </c>
      <c r="J43" s="4">
        <f t="shared" si="20"/>
        <v>7</v>
      </c>
      <c r="K43" s="4">
        <f t="shared" si="9"/>
        <v>0</v>
      </c>
      <c r="L43" s="4">
        <f t="shared" si="10"/>
        <v>0</v>
      </c>
      <c r="M43" s="4">
        <f t="shared" si="11"/>
        <v>0</v>
      </c>
      <c r="N43" s="4">
        <f t="shared" si="12"/>
        <v>0</v>
      </c>
      <c r="O43" s="4">
        <f t="shared" si="13"/>
        <v>0</v>
      </c>
      <c r="P43" s="4">
        <f t="shared" si="14"/>
        <v>0</v>
      </c>
      <c r="Q43" s="4">
        <f t="shared" si="15"/>
        <v>7</v>
      </c>
      <c r="R43" s="4">
        <f t="shared" si="16"/>
        <v>0</v>
      </c>
      <c r="S43" s="4">
        <f t="shared" si="17"/>
        <v>0</v>
      </c>
      <c r="T43" s="4">
        <f t="shared" si="18"/>
        <v>0</v>
      </c>
    </row>
    <row r="44" spans="1:20">
      <c r="A44" s="4">
        <f>MIN(StopFreqGHz+0.000001,'7227'!A43+FreqStep)</f>
        <v>20.692</v>
      </c>
      <c r="B44" s="4">
        <f t="shared" si="19"/>
        <v>21.47992</v>
      </c>
      <c r="C44" s="4">
        <f t="shared" si="1"/>
        <v>16.100000000000001</v>
      </c>
      <c r="D44" s="4">
        <f t="shared" si="2"/>
        <v>0.26</v>
      </c>
      <c r="E44" s="4">
        <f t="shared" si="3"/>
        <v>5</v>
      </c>
      <c r="F44" s="4">
        <f t="shared" si="4"/>
        <v>-8</v>
      </c>
      <c r="G44" s="4">
        <f t="shared" si="5"/>
        <v>-11</v>
      </c>
      <c r="H44" s="4">
        <f t="shared" si="6"/>
        <v>0.3</v>
      </c>
      <c r="I44" s="4">
        <f t="shared" si="7"/>
        <v>5</v>
      </c>
      <c r="J44" s="4">
        <f t="shared" si="20"/>
        <v>7</v>
      </c>
      <c r="K44" s="4">
        <f t="shared" si="9"/>
        <v>0</v>
      </c>
      <c r="L44" s="4">
        <f t="shared" si="10"/>
        <v>0</v>
      </c>
      <c r="M44" s="4">
        <f t="shared" si="11"/>
        <v>0</v>
      </c>
      <c r="N44" s="4">
        <f t="shared" si="12"/>
        <v>0</v>
      </c>
      <c r="O44" s="4">
        <f t="shared" si="13"/>
        <v>0</v>
      </c>
      <c r="P44" s="4">
        <f t="shared" si="14"/>
        <v>0</v>
      </c>
      <c r="Q44" s="4">
        <f t="shared" si="15"/>
        <v>7</v>
      </c>
      <c r="R44" s="4">
        <f t="shared" si="16"/>
        <v>0</v>
      </c>
      <c r="S44" s="4">
        <f t="shared" si="17"/>
        <v>0</v>
      </c>
      <c r="T44" s="4">
        <f t="shared" si="18"/>
        <v>0</v>
      </c>
    </row>
    <row r="45" spans="1:20">
      <c r="A45" s="4">
        <f>MIN(StopFreqGHz+0.000001,'7227'!A44+FreqStep)</f>
        <v>21.22</v>
      </c>
      <c r="B45" s="4">
        <f t="shared" si="19"/>
        <v>21.6172</v>
      </c>
      <c r="C45" s="4">
        <f t="shared" si="1"/>
        <v>16.100000000000001</v>
      </c>
      <c r="D45" s="4">
        <f t="shared" si="2"/>
        <v>0.26</v>
      </c>
      <c r="E45" s="4">
        <f t="shared" si="3"/>
        <v>5</v>
      </c>
      <c r="F45" s="4">
        <f t="shared" si="4"/>
        <v>-8</v>
      </c>
      <c r="G45" s="4">
        <f t="shared" si="5"/>
        <v>-11</v>
      </c>
      <c r="H45" s="4">
        <f t="shared" si="6"/>
        <v>0.3</v>
      </c>
      <c r="I45" s="4">
        <f t="shared" si="7"/>
        <v>5</v>
      </c>
      <c r="J45" s="4">
        <f t="shared" si="20"/>
        <v>7</v>
      </c>
      <c r="K45" s="4">
        <f t="shared" si="9"/>
        <v>0</v>
      </c>
      <c r="L45" s="4">
        <f t="shared" si="10"/>
        <v>0</v>
      </c>
      <c r="M45" s="4">
        <f t="shared" si="11"/>
        <v>0</v>
      </c>
      <c r="N45" s="4">
        <f t="shared" si="12"/>
        <v>0</v>
      </c>
      <c r="O45" s="4">
        <f t="shared" si="13"/>
        <v>0</v>
      </c>
      <c r="P45" s="4">
        <f t="shared" si="14"/>
        <v>0</v>
      </c>
      <c r="Q45" s="4">
        <f t="shared" si="15"/>
        <v>7</v>
      </c>
      <c r="R45" s="4">
        <f t="shared" si="16"/>
        <v>0</v>
      </c>
      <c r="S45" s="4">
        <f t="shared" si="17"/>
        <v>0</v>
      </c>
      <c r="T45" s="4">
        <f t="shared" si="18"/>
        <v>0</v>
      </c>
    </row>
    <row r="46" spans="1:20">
      <c r="A46" s="4">
        <f>MIN(StopFreqGHz+0.000001,'7227'!A45+FreqStep)</f>
        <v>21.747999999999998</v>
      </c>
      <c r="B46" s="4">
        <f t="shared" si="19"/>
        <v>21.754480000000001</v>
      </c>
      <c r="C46" s="4">
        <f t="shared" si="1"/>
        <v>16.100000000000001</v>
      </c>
      <c r="D46" s="4">
        <f t="shared" si="2"/>
        <v>0.26</v>
      </c>
      <c r="E46" s="4">
        <f t="shared" si="3"/>
        <v>5</v>
      </c>
      <c r="F46" s="4">
        <f t="shared" si="4"/>
        <v>-8</v>
      </c>
      <c r="G46" s="4">
        <f t="shared" si="5"/>
        <v>-11</v>
      </c>
      <c r="H46" s="4">
        <f t="shared" si="6"/>
        <v>0.3</v>
      </c>
      <c r="I46" s="4">
        <f t="shared" si="7"/>
        <v>5</v>
      </c>
      <c r="J46" s="4">
        <f t="shared" si="20"/>
        <v>7</v>
      </c>
      <c r="K46" s="4">
        <f t="shared" si="9"/>
        <v>0</v>
      </c>
      <c r="L46" s="4">
        <f t="shared" si="10"/>
        <v>0</v>
      </c>
      <c r="M46" s="4">
        <f t="shared" si="11"/>
        <v>0</v>
      </c>
      <c r="N46" s="4">
        <f t="shared" si="12"/>
        <v>0</v>
      </c>
      <c r="O46" s="4">
        <f t="shared" si="13"/>
        <v>0</v>
      </c>
      <c r="P46" s="4">
        <f t="shared" si="14"/>
        <v>0</v>
      </c>
      <c r="Q46" s="4">
        <f t="shared" si="15"/>
        <v>7</v>
      </c>
      <c r="R46" s="4">
        <f t="shared" si="16"/>
        <v>0</v>
      </c>
      <c r="S46" s="4">
        <f t="shared" si="17"/>
        <v>0</v>
      </c>
      <c r="T46" s="4">
        <f t="shared" si="18"/>
        <v>0</v>
      </c>
    </row>
    <row r="47" spans="1:20">
      <c r="A47" s="4">
        <f>MIN(StopFreqGHz+0.000001,'7227'!A46+FreqStep)</f>
        <v>22.275999999999996</v>
      </c>
      <c r="B47" s="4">
        <f t="shared" si="19"/>
        <v>21.891760000000001</v>
      </c>
      <c r="C47" s="4">
        <f t="shared" si="1"/>
        <v>16.100000000000001</v>
      </c>
      <c r="D47" s="4">
        <f t="shared" si="2"/>
        <v>0.26</v>
      </c>
      <c r="E47" s="4">
        <f t="shared" si="3"/>
        <v>5</v>
      </c>
      <c r="F47" s="4">
        <f t="shared" si="4"/>
        <v>-8</v>
      </c>
      <c r="G47" s="4">
        <f t="shared" si="5"/>
        <v>-11</v>
      </c>
      <c r="H47" s="4">
        <f t="shared" si="6"/>
        <v>0.3</v>
      </c>
      <c r="I47" s="4">
        <f t="shared" si="7"/>
        <v>5</v>
      </c>
      <c r="J47" s="4">
        <f t="shared" si="20"/>
        <v>7</v>
      </c>
      <c r="K47" s="4">
        <f t="shared" si="9"/>
        <v>0</v>
      </c>
      <c r="L47" s="4">
        <f t="shared" si="10"/>
        <v>0</v>
      </c>
      <c r="M47" s="4">
        <f t="shared" si="11"/>
        <v>0</v>
      </c>
      <c r="N47" s="4">
        <f t="shared" si="12"/>
        <v>0</v>
      </c>
      <c r="O47" s="4">
        <f t="shared" si="13"/>
        <v>0</v>
      </c>
      <c r="P47" s="4">
        <f t="shared" si="14"/>
        <v>0</v>
      </c>
      <c r="Q47" s="4">
        <f t="shared" si="15"/>
        <v>7</v>
      </c>
      <c r="R47" s="4">
        <f t="shared" si="16"/>
        <v>0</v>
      </c>
      <c r="S47" s="4">
        <f t="shared" si="17"/>
        <v>0</v>
      </c>
      <c r="T47" s="4">
        <f t="shared" si="18"/>
        <v>0</v>
      </c>
    </row>
    <row r="48" spans="1:20">
      <c r="A48" s="4">
        <f>MIN(StopFreqGHz+0.000001,'7227'!A47+FreqStep)</f>
        <v>22.803999999999995</v>
      </c>
      <c r="B48" s="4">
        <f t="shared" si="19"/>
        <v>22.029040000000002</v>
      </c>
      <c r="C48" s="4">
        <f t="shared" si="1"/>
        <v>16.100000000000001</v>
      </c>
      <c r="D48" s="4">
        <f t="shared" si="2"/>
        <v>0.26</v>
      </c>
      <c r="E48" s="4">
        <f t="shared" si="3"/>
        <v>5</v>
      </c>
      <c r="F48" s="4">
        <f t="shared" si="4"/>
        <v>-8</v>
      </c>
      <c r="G48" s="4">
        <f t="shared" si="5"/>
        <v>-11</v>
      </c>
      <c r="H48" s="4">
        <f t="shared" si="6"/>
        <v>0.3</v>
      </c>
      <c r="I48" s="4">
        <f t="shared" si="7"/>
        <v>5</v>
      </c>
      <c r="J48" s="4">
        <f t="shared" si="20"/>
        <v>7</v>
      </c>
      <c r="K48" s="4">
        <f t="shared" si="9"/>
        <v>0</v>
      </c>
      <c r="L48" s="4">
        <f t="shared" si="10"/>
        <v>0</v>
      </c>
      <c r="M48" s="4">
        <f t="shared" si="11"/>
        <v>0</v>
      </c>
      <c r="N48" s="4">
        <f t="shared" si="12"/>
        <v>0</v>
      </c>
      <c r="O48" s="4">
        <f t="shared" si="13"/>
        <v>0</v>
      </c>
      <c r="P48" s="4">
        <f t="shared" si="14"/>
        <v>0</v>
      </c>
      <c r="Q48" s="4">
        <f t="shared" si="15"/>
        <v>7</v>
      </c>
      <c r="R48" s="4">
        <f t="shared" si="16"/>
        <v>0</v>
      </c>
      <c r="S48" s="4">
        <f t="shared" si="17"/>
        <v>0</v>
      </c>
      <c r="T48" s="4">
        <f t="shared" si="18"/>
        <v>0</v>
      </c>
    </row>
    <row r="49" spans="1:20">
      <c r="A49" s="4">
        <f>MIN(StopFreqGHz+0.000001,'7227'!A48+FreqStep)</f>
        <v>23.331999999999994</v>
      </c>
      <c r="B49" s="4">
        <f t="shared" si="19"/>
        <v>22.166319999999999</v>
      </c>
      <c r="C49" s="4">
        <f t="shared" si="1"/>
        <v>16.100000000000001</v>
      </c>
      <c r="D49" s="4">
        <f t="shared" si="2"/>
        <v>0.26</v>
      </c>
      <c r="E49" s="4">
        <f t="shared" si="3"/>
        <v>5</v>
      </c>
      <c r="F49" s="4">
        <f t="shared" si="4"/>
        <v>-8</v>
      </c>
      <c r="G49" s="4">
        <f t="shared" si="5"/>
        <v>-11</v>
      </c>
      <c r="H49" s="4">
        <f t="shared" si="6"/>
        <v>0.3</v>
      </c>
      <c r="I49" s="4">
        <f t="shared" si="7"/>
        <v>5</v>
      </c>
      <c r="J49" s="4">
        <f t="shared" si="20"/>
        <v>7</v>
      </c>
      <c r="K49" s="4">
        <f t="shared" si="9"/>
        <v>0</v>
      </c>
      <c r="L49" s="4">
        <f t="shared" si="10"/>
        <v>0</v>
      </c>
      <c r="M49" s="4">
        <f t="shared" si="11"/>
        <v>0</v>
      </c>
      <c r="N49" s="4">
        <f t="shared" si="12"/>
        <v>0</v>
      </c>
      <c r="O49" s="4">
        <f t="shared" si="13"/>
        <v>0</v>
      </c>
      <c r="P49" s="4">
        <f t="shared" si="14"/>
        <v>0</v>
      </c>
      <c r="Q49" s="4">
        <f t="shared" si="15"/>
        <v>7</v>
      </c>
      <c r="R49" s="4">
        <f t="shared" si="16"/>
        <v>0</v>
      </c>
      <c r="S49" s="4">
        <f t="shared" si="17"/>
        <v>0</v>
      </c>
      <c r="T49" s="4">
        <f t="shared" si="18"/>
        <v>0</v>
      </c>
    </row>
    <row r="50" spans="1:20">
      <c r="A50" s="4">
        <f>MIN(StopFreqGHz+0.000001,'7227'!A49+FreqStep)</f>
        <v>23.859999999999992</v>
      </c>
      <c r="B50" s="4">
        <f t="shared" si="19"/>
        <v>22.303599999999999</v>
      </c>
      <c r="C50" s="4">
        <f t="shared" si="1"/>
        <v>16.100000000000001</v>
      </c>
      <c r="D50" s="4">
        <f t="shared" si="2"/>
        <v>0.26</v>
      </c>
      <c r="E50" s="4">
        <f t="shared" si="3"/>
        <v>5</v>
      </c>
      <c r="F50" s="4">
        <f t="shared" si="4"/>
        <v>-8</v>
      </c>
      <c r="G50" s="4">
        <f t="shared" si="5"/>
        <v>-11</v>
      </c>
      <c r="H50" s="4">
        <f t="shared" si="6"/>
        <v>0.3</v>
      </c>
      <c r="I50" s="4">
        <f t="shared" si="7"/>
        <v>5</v>
      </c>
      <c r="J50" s="4">
        <f t="shared" si="20"/>
        <v>7</v>
      </c>
      <c r="K50" s="4">
        <f t="shared" si="9"/>
        <v>0</v>
      </c>
      <c r="L50" s="4">
        <f t="shared" si="10"/>
        <v>0</v>
      </c>
      <c r="M50" s="4">
        <f t="shared" si="11"/>
        <v>0</v>
      </c>
      <c r="N50" s="4">
        <f t="shared" si="12"/>
        <v>0</v>
      </c>
      <c r="O50" s="4">
        <f t="shared" si="13"/>
        <v>0</v>
      </c>
      <c r="P50" s="4">
        <f t="shared" si="14"/>
        <v>0</v>
      </c>
      <c r="Q50" s="4">
        <f t="shared" si="15"/>
        <v>7</v>
      </c>
      <c r="R50" s="4">
        <f t="shared" si="16"/>
        <v>0</v>
      </c>
      <c r="S50" s="4">
        <f t="shared" si="17"/>
        <v>0</v>
      </c>
      <c r="T50" s="4">
        <f t="shared" si="18"/>
        <v>0</v>
      </c>
    </row>
    <row r="51" spans="1:20">
      <c r="A51" s="4">
        <f>MIN(StopFreqGHz+0.000001,'7227'!A50+FreqStep)</f>
        <v>24.387999999999991</v>
      </c>
      <c r="B51" s="4">
        <f t="shared" si="19"/>
        <v>22.44088</v>
      </c>
      <c r="C51" s="4">
        <f t="shared" si="1"/>
        <v>16.100000000000001</v>
      </c>
      <c r="D51" s="4">
        <f t="shared" si="2"/>
        <v>0.26</v>
      </c>
      <c r="E51" s="4">
        <f t="shared" si="3"/>
        <v>5</v>
      </c>
      <c r="F51" s="4">
        <f t="shared" si="4"/>
        <v>-8</v>
      </c>
      <c r="G51" s="4">
        <f t="shared" si="5"/>
        <v>-11</v>
      </c>
      <c r="H51" s="4">
        <f t="shared" si="6"/>
        <v>0.3</v>
      </c>
      <c r="I51" s="4">
        <f t="shared" si="7"/>
        <v>5</v>
      </c>
      <c r="J51" s="4">
        <f t="shared" si="20"/>
        <v>7</v>
      </c>
      <c r="K51" s="4">
        <f t="shared" si="9"/>
        <v>0</v>
      </c>
      <c r="L51" s="4">
        <f t="shared" si="10"/>
        <v>0</v>
      </c>
      <c r="M51" s="4">
        <f t="shared" si="11"/>
        <v>0</v>
      </c>
      <c r="N51" s="4">
        <f t="shared" si="12"/>
        <v>0</v>
      </c>
      <c r="O51" s="4">
        <f t="shared" si="13"/>
        <v>0</v>
      </c>
      <c r="P51" s="4">
        <f t="shared" si="14"/>
        <v>0</v>
      </c>
      <c r="Q51" s="4">
        <f t="shared" si="15"/>
        <v>7</v>
      </c>
      <c r="R51" s="4">
        <f t="shared" si="16"/>
        <v>0</v>
      </c>
      <c r="S51" s="4">
        <f t="shared" si="17"/>
        <v>0</v>
      </c>
      <c r="T51" s="4">
        <f t="shared" si="18"/>
        <v>0</v>
      </c>
    </row>
    <row r="52" spans="1:20">
      <c r="A52" s="4">
        <f>MIN(StopFreqGHz+0.000001,'7227'!A51+FreqStep)</f>
        <v>24.91599999999999</v>
      </c>
      <c r="B52" s="4">
        <f t="shared" si="19"/>
        <v>22.578159999999997</v>
      </c>
      <c r="C52" s="4">
        <f t="shared" si="1"/>
        <v>16.100000000000001</v>
      </c>
      <c r="D52" s="4">
        <f t="shared" si="2"/>
        <v>0.26</v>
      </c>
      <c r="E52" s="4">
        <f t="shared" si="3"/>
        <v>5</v>
      </c>
      <c r="F52" s="4">
        <f t="shared" si="4"/>
        <v>-8</v>
      </c>
      <c r="G52" s="4">
        <f t="shared" si="5"/>
        <v>-11</v>
      </c>
      <c r="H52" s="4">
        <f t="shared" si="6"/>
        <v>0.3</v>
      </c>
      <c r="I52" s="4">
        <f t="shared" si="7"/>
        <v>5</v>
      </c>
      <c r="J52" s="4">
        <f t="shared" si="20"/>
        <v>7</v>
      </c>
      <c r="K52" s="4">
        <f t="shared" si="9"/>
        <v>0</v>
      </c>
      <c r="L52" s="4">
        <f t="shared" si="10"/>
        <v>0</v>
      </c>
      <c r="M52" s="4">
        <f t="shared" si="11"/>
        <v>0</v>
      </c>
      <c r="N52" s="4">
        <f t="shared" si="12"/>
        <v>0</v>
      </c>
      <c r="O52" s="4">
        <f t="shared" si="13"/>
        <v>0</v>
      </c>
      <c r="P52" s="4">
        <f t="shared" si="14"/>
        <v>0</v>
      </c>
      <c r="Q52" s="4">
        <f t="shared" si="15"/>
        <v>7</v>
      </c>
      <c r="R52" s="4">
        <f t="shared" si="16"/>
        <v>0</v>
      </c>
      <c r="S52" s="4">
        <f t="shared" si="17"/>
        <v>0</v>
      </c>
      <c r="T52" s="4">
        <f t="shared" si="18"/>
        <v>0</v>
      </c>
    </row>
    <row r="53" spans="1:20">
      <c r="A53" s="4">
        <f>MIN(StopFreqGHz+0.000001,'7227'!A52+FreqStep)</f>
        <v>25.443999999999988</v>
      </c>
      <c r="B53" s="4">
        <f t="shared" si="19"/>
        <v>22.715439999999997</v>
      </c>
      <c r="C53" s="4">
        <f t="shared" si="1"/>
        <v>16.100000000000001</v>
      </c>
      <c r="D53" s="4">
        <f t="shared" si="2"/>
        <v>0.26</v>
      </c>
      <c r="E53" s="4">
        <f t="shared" si="3"/>
        <v>5</v>
      </c>
      <c r="F53" s="4">
        <f t="shared" si="4"/>
        <v>-8</v>
      </c>
      <c r="G53" s="4">
        <f t="shared" si="5"/>
        <v>-11</v>
      </c>
      <c r="H53" s="4">
        <f t="shared" si="6"/>
        <v>0.3</v>
      </c>
      <c r="I53" s="4">
        <f t="shared" si="7"/>
        <v>5</v>
      </c>
      <c r="J53" s="4">
        <f t="shared" si="20"/>
        <v>7</v>
      </c>
      <c r="K53" s="4">
        <f t="shared" si="9"/>
        <v>0</v>
      </c>
      <c r="L53" s="4">
        <f t="shared" si="10"/>
        <v>0</v>
      </c>
      <c r="M53" s="4">
        <f t="shared" si="11"/>
        <v>0</v>
      </c>
      <c r="N53" s="4">
        <f t="shared" si="12"/>
        <v>0</v>
      </c>
      <c r="O53" s="4">
        <f t="shared" si="13"/>
        <v>0</v>
      </c>
      <c r="P53" s="4">
        <f t="shared" si="14"/>
        <v>0</v>
      </c>
      <c r="Q53" s="4">
        <f t="shared" si="15"/>
        <v>7</v>
      </c>
      <c r="R53" s="4">
        <f t="shared" si="16"/>
        <v>0</v>
      </c>
      <c r="S53" s="4">
        <f t="shared" si="17"/>
        <v>0</v>
      </c>
      <c r="T53" s="4">
        <f t="shared" si="18"/>
        <v>0</v>
      </c>
    </row>
    <row r="54" spans="1:20">
      <c r="A54" s="4">
        <f>MIN(StopFreqGHz+0.000001,'7227'!A53+FreqStep)</f>
        <v>25.971999999999987</v>
      </c>
      <c r="B54" s="4">
        <f t="shared" si="19"/>
        <v>22.852719999999998</v>
      </c>
      <c r="C54" s="4">
        <f t="shared" si="1"/>
        <v>16.100000000000001</v>
      </c>
      <c r="D54" s="4">
        <f t="shared" si="2"/>
        <v>0.26</v>
      </c>
      <c r="E54" s="4">
        <f t="shared" si="3"/>
        <v>5</v>
      </c>
      <c r="F54" s="4">
        <f t="shared" si="4"/>
        <v>-8</v>
      </c>
      <c r="G54" s="4">
        <f t="shared" si="5"/>
        <v>-11</v>
      </c>
      <c r="H54" s="4">
        <f t="shared" si="6"/>
        <v>0.3</v>
      </c>
      <c r="I54" s="4">
        <f t="shared" si="7"/>
        <v>5</v>
      </c>
      <c r="J54" s="4">
        <f t="shared" si="20"/>
        <v>7</v>
      </c>
      <c r="K54" s="4">
        <f t="shared" si="9"/>
        <v>0</v>
      </c>
      <c r="L54" s="4">
        <f t="shared" si="10"/>
        <v>0</v>
      </c>
      <c r="M54" s="4">
        <f t="shared" si="11"/>
        <v>0</v>
      </c>
      <c r="N54" s="4">
        <f t="shared" si="12"/>
        <v>0</v>
      </c>
      <c r="O54" s="4">
        <f t="shared" si="13"/>
        <v>0</v>
      </c>
      <c r="P54" s="4">
        <f t="shared" si="14"/>
        <v>0</v>
      </c>
      <c r="Q54" s="4">
        <f t="shared" si="15"/>
        <v>7</v>
      </c>
      <c r="R54" s="4">
        <f t="shared" si="16"/>
        <v>0</v>
      </c>
      <c r="S54" s="4">
        <f t="shared" si="17"/>
        <v>0</v>
      </c>
      <c r="T54" s="4">
        <f t="shared" si="18"/>
        <v>0</v>
      </c>
    </row>
    <row r="55" spans="1:20">
      <c r="A55" s="4">
        <f>MIN(StopFreqGHz+0.000001,'7227'!A54+FreqStep)</f>
        <v>26.499999999999986</v>
      </c>
      <c r="B55" s="4">
        <f t="shared" si="19"/>
        <v>22.99</v>
      </c>
      <c r="C55" s="4">
        <f t="shared" si="1"/>
        <v>16.100000000000001</v>
      </c>
      <c r="D55" s="4">
        <f t="shared" si="2"/>
        <v>0.26</v>
      </c>
      <c r="E55" s="4">
        <f t="shared" si="3"/>
        <v>5</v>
      </c>
      <c r="F55" s="4">
        <f t="shared" si="4"/>
        <v>-8</v>
      </c>
      <c r="G55" s="4">
        <f t="shared" si="5"/>
        <v>-11</v>
      </c>
      <c r="H55" s="4">
        <f t="shared" si="6"/>
        <v>0.3</v>
      </c>
      <c r="I55" s="4">
        <f t="shared" si="7"/>
        <v>5</v>
      </c>
      <c r="J55" s="4">
        <f t="shared" si="20"/>
        <v>7</v>
      </c>
      <c r="K55" s="4">
        <f t="shared" si="9"/>
        <v>0</v>
      </c>
      <c r="L55" s="4">
        <f t="shared" si="10"/>
        <v>0</v>
      </c>
      <c r="M55" s="4">
        <f t="shared" si="11"/>
        <v>0</v>
      </c>
      <c r="N55" s="4">
        <f t="shared" si="12"/>
        <v>0</v>
      </c>
      <c r="O55" s="4">
        <f t="shared" si="13"/>
        <v>0</v>
      </c>
      <c r="P55" s="4">
        <f t="shared" si="14"/>
        <v>0</v>
      </c>
      <c r="Q55" s="4">
        <f t="shared" si="15"/>
        <v>7</v>
      </c>
      <c r="R55" s="4">
        <f t="shared" si="16"/>
        <v>0</v>
      </c>
      <c r="S55" s="4">
        <f t="shared" si="17"/>
        <v>0</v>
      </c>
      <c r="T55" s="4">
        <f t="shared" si="18"/>
        <v>0</v>
      </c>
    </row>
    <row r="56" spans="1:20">
      <c r="A56" s="4">
        <f>MIN(StopFreqGHz+0.000001,'7227'!A55+FreqStep)</f>
        <v>26.500001000000001</v>
      </c>
      <c r="B56" s="4">
        <f t="shared" si="19"/>
        <v>22.990000260000002</v>
      </c>
      <c r="C56" s="4">
        <f t="shared" si="1"/>
        <v>16.100000000000001</v>
      </c>
      <c r="D56" s="4">
        <f t="shared" si="2"/>
        <v>0.26</v>
      </c>
      <c r="E56" s="4">
        <f t="shared" si="3"/>
        <v>5</v>
      </c>
      <c r="F56" s="4">
        <f t="shared" si="4"/>
        <v>-8</v>
      </c>
      <c r="G56" s="4">
        <f t="shared" si="5"/>
        <v>-11</v>
      </c>
      <c r="H56" s="4">
        <f t="shared" si="6"/>
        <v>0.3</v>
      </c>
      <c r="I56" s="4">
        <f t="shared" si="7"/>
        <v>5</v>
      </c>
      <c r="J56" s="4">
        <f t="shared" si="20"/>
        <v>7</v>
      </c>
      <c r="K56" s="4">
        <f t="shared" si="9"/>
        <v>0</v>
      </c>
      <c r="L56" s="4">
        <f t="shared" si="10"/>
        <v>0</v>
      </c>
      <c r="M56" s="4">
        <f t="shared" si="11"/>
        <v>0</v>
      </c>
      <c r="N56" s="4">
        <f t="shared" si="12"/>
        <v>0</v>
      </c>
      <c r="O56" s="4">
        <f t="shared" si="13"/>
        <v>0</v>
      </c>
      <c r="P56" s="4">
        <f t="shared" si="14"/>
        <v>0</v>
      </c>
      <c r="Q56" s="4">
        <f t="shared" si="15"/>
        <v>7</v>
      </c>
      <c r="R56" s="4">
        <f t="shared" si="16"/>
        <v>0</v>
      </c>
      <c r="S56" s="4">
        <f t="shared" si="17"/>
        <v>0</v>
      </c>
      <c r="T56" s="4">
        <f t="shared" si="18"/>
        <v>0</v>
      </c>
    </row>
    <row r="57" spans="1:20">
      <c r="A57" s="4">
        <f>MIN(StopFreqGHz+0.000001,'7227'!A56+FreqStep)</f>
        <v>26.500001000000001</v>
      </c>
      <c r="B57" s="4">
        <f t="shared" si="19"/>
        <v>22.990000260000002</v>
      </c>
      <c r="C57" s="4">
        <f t="shared" si="1"/>
        <v>16.100000000000001</v>
      </c>
      <c r="D57" s="4">
        <f t="shared" si="2"/>
        <v>0.26</v>
      </c>
      <c r="E57" s="4">
        <f t="shared" si="3"/>
        <v>5</v>
      </c>
      <c r="F57" s="4">
        <f t="shared" si="4"/>
        <v>-8</v>
      </c>
      <c r="G57" s="4">
        <f t="shared" si="5"/>
        <v>-11</v>
      </c>
      <c r="H57" s="4">
        <f t="shared" si="6"/>
        <v>0.3</v>
      </c>
      <c r="I57" s="4">
        <f t="shared" si="7"/>
        <v>5</v>
      </c>
      <c r="J57" s="4">
        <f t="shared" si="20"/>
        <v>7</v>
      </c>
      <c r="K57" s="4">
        <f t="shared" si="9"/>
        <v>0</v>
      </c>
      <c r="L57" s="4">
        <f t="shared" si="10"/>
        <v>0</v>
      </c>
      <c r="M57" s="4">
        <f t="shared" si="11"/>
        <v>0</v>
      </c>
      <c r="N57" s="4">
        <f t="shared" si="12"/>
        <v>0</v>
      </c>
      <c r="O57" s="4">
        <f t="shared" si="13"/>
        <v>0</v>
      </c>
      <c r="P57" s="4">
        <f t="shared" si="14"/>
        <v>0</v>
      </c>
      <c r="Q57" s="4">
        <f t="shared" si="15"/>
        <v>7</v>
      </c>
      <c r="R57" s="4">
        <f t="shared" si="16"/>
        <v>0</v>
      </c>
      <c r="S57" s="4">
        <f t="shared" si="17"/>
        <v>0</v>
      </c>
      <c r="T57" s="4">
        <f t="shared" si="18"/>
        <v>0</v>
      </c>
    </row>
    <row r="58" spans="1:20">
      <c r="A58" s="4">
        <f>MIN(StopFreqGHz+0.000001,'7227'!A57+FreqStep)</f>
        <v>26.500001000000001</v>
      </c>
      <c r="B58" s="4">
        <f t="shared" si="19"/>
        <v>22.990000260000002</v>
      </c>
      <c r="C58" s="4">
        <f t="shared" si="1"/>
        <v>16.100000000000001</v>
      </c>
      <c r="D58" s="4">
        <f t="shared" si="2"/>
        <v>0.26</v>
      </c>
      <c r="E58" s="4">
        <f t="shared" si="3"/>
        <v>5</v>
      </c>
      <c r="F58" s="4">
        <f t="shared" si="4"/>
        <v>-8</v>
      </c>
      <c r="G58" s="4">
        <f t="shared" si="5"/>
        <v>-11</v>
      </c>
      <c r="H58" s="4">
        <f t="shared" si="6"/>
        <v>0.3</v>
      </c>
      <c r="I58" s="4">
        <f t="shared" si="7"/>
        <v>5</v>
      </c>
      <c r="J58" s="4">
        <f t="shared" si="20"/>
        <v>7</v>
      </c>
      <c r="K58" s="4">
        <f t="shared" si="9"/>
        <v>0</v>
      </c>
      <c r="L58" s="4">
        <f t="shared" si="10"/>
        <v>0</v>
      </c>
      <c r="M58" s="4">
        <f t="shared" si="11"/>
        <v>0</v>
      </c>
      <c r="N58" s="4">
        <f t="shared" si="12"/>
        <v>0</v>
      </c>
      <c r="O58" s="4">
        <f t="shared" si="13"/>
        <v>0</v>
      </c>
      <c r="P58" s="4">
        <f t="shared" si="14"/>
        <v>0</v>
      </c>
      <c r="Q58" s="4">
        <f t="shared" si="15"/>
        <v>7</v>
      </c>
      <c r="R58" s="4">
        <f t="shared" si="16"/>
        <v>0</v>
      </c>
      <c r="S58" s="4">
        <f t="shared" si="17"/>
        <v>0</v>
      </c>
      <c r="T58" s="4">
        <f t="shared" si="18"/>
        <v>0</v>
      </c>
    </row>
    <row r="59" spans="1:20">
      <c r="A59" s="4">
        <f>MIN(StopFreqGHz+0.000001,'7227'!A58+FreqStep)</f>
        <v>26.500001000000001</v>
      </c>
      <c r="B59" s="4">
        <f t="shared" si="19"/>
        <v>22.990000260000002</v>
      </c>
      <c r="C59" s="4">
        <f t="shared" si="1"/>
        <v>16.100000000000001</v>
      </c>
      <c r="D59" s="4">
        <f t="shared" si="2"/>
        <v>0.26</v>
      </c>
      <c r="E59" s="4">
        <f t="shared" si="3"/>
        <v>5</v>
      </c>
      <c r="F59" s="4">
        <f t="shared" si="4"/>
        <v>-8</v>
      </c>
      <c r="G59" s="4">
        <f t="shared" si="5"/>
        <v>-11</v>
      </c>
      <c r="H59" s="4">
        <f t="shared" si="6"/>
        <v>0.3</v>
      </c>
      <c r="I59" s="4">
        <f t="shared" si="7"/>
        <v>5</v>
      </c>
      <c r="J59" s="4">
        <f t="shared" si="20"/>
        <v>7</v>
      </c>
      <c r="K59" s="4">
        <f t="shared" si="9"/>
        <v>0</v>
      </c>
      <c r="L59" s="4">
        <f t="shared" si="10"/>
        <v>0</v>
      </c>
      <c r="M59" s="4">
        <f t="shared" si="11"/>
        <v>0</v>
      </c>
      <c r="N59" s="4">
        <f t="shared" si="12"/>
        <v>0</v>
      </c>
      <c r="O59" s="4">
        <f t="shared" si="13"/>
        <v>0</v>
      </c>
      <c r="P59" s="4">
        <f t="shared" si="14"/>
        <v>0</v>
      </c>
      <c r="Q59" s="4">
        <f t="shared" si="15"/>
        <v>7</v>
      </c>
      <c r="R59" s="4">
        <f t="shared" si="16"/>
        <v>0</v>
      </c>
      <c r="S59" s="4">
        <f t="shared" si="17"/>
        <v>0</v>
      </c>
      <c r="T59" s="4">
        <f t="shared" si="18"/>
        <v>0</v>
      </c>
    </row>
    <row r="60" spans="1:20">
      <c r="A60" s="4">
        <f>MIN(StopFreqGHz+0.000001,'7227'!A59+FreqStep)</f>
        <v>26.500001000000001</v>
      </c>
      <c r="B60" s="4">
        <f t="shared" si="19"/>
        <v>22.990000260000002</v>
      </c>
      <c r="C60" s="4">
        <f t="shared" si="1"/>
        <v>16.100000000000001</v>
      </c>
      <c r="D60" s="4">
        <f t="shared" si="2"/>
        <v>0.26</v>
      </c>
      <c r="E60" s="4">
        <f t="shared" si="3"/>
        <v>5</v>
      </c>
      <c r="F60" s="4">
        <f t="shared" si="4"/>
        <v>-8</v>
      </c>
      <c r="G60" s="4">
        <f t="shared" si="5"/>
        <v>-11</v>
      </c>
      <c r="H60" s="4">
        <f t="shared" si="6"/>
        <v>0.3</v>
      </c>
      <c r="I60" s="4">
        <f t="shared" si="7"/>
        <v>5</v>
      </c>
      <c r="J60" s="4">
        <f t="shared" si="20"/>
        <v>7</v>
      </c>
      <c r="K60" s="4">
        <f t="shared" si="9"/>
        <v>0</v>
      </c>
      <c r="L60" s="4">
        <f t="shared" si="10"/>
        <v>0</v>
      </c>
      <c r="M60" s="4">
        <f t="shared" si="11"/>
        <v>0</v>
      </c>
      <c r="N60" s="4">
        <f t="shared" si="12"/>
        <v>0</v>
      </c>
      <c r="O60" s="4">
        <f t="shared" si="13"/>
        <v>0</v>
      </c>
      <c r="P60" s="4">
        <f t="shared" si="14"/>
        <v>0</v>
      </c>
      <c r="Q60" s="4">
        <f t="shared" si="15"/>
        <v>7</v>
      </c>
      <c r="R60" s="4">
        <f t="shared" si="16"/>
        <v>0</v>
      </c>
      <c r="S60" s="4">
        <f t="shared" si="17"/>
        <v>0</v>
      </c>
      <c r="T60" s="4">
        <f t="shared" si="18"/>
        <v>0</v>
      </c>
    </row>
    <row r="61" spans="1:20">
      <c r="A61" s="4">
        <f>MIN(StopFreqGHz+0.000001,'7227'!A60+FreqStep)</f>
        <v>26.500001000000001</v>
      </c>
      <c r="B61" s="4">
        <f t="shared" si="19"/>
        <v>22.990000260000002</v>
      </c>
      <c r="C61" s="4">
        <f t="shared" si="1"/>
        <v>16.100000000000001</v>
      </c>
      <c r="D61" s="4">
        <f t="shared" si="2"/>
        <v>0.26</v>
      </c>
      <c r="E61" s="4">
        <f t="shared" si="3"/>
        <v>5</v>
      </c>
      <c r="F61" s="4">
        <f t="shared" si="4"/>
        <v>-8</v>
      </c>
      <c r="G61" s="4">
        <f t="shared" si="5"/>
        <v>-11</v>
      </c>
      <c r="H61" s="4">
        <f t="shared" si="6"/>
        <v>0.3</v>
      </c>
      <c r="I61" s="4">
        <f t="shared" si="7"/>
        <v>5</v>
      </c>
      <c r="J61" s="4">
        <f t="shared" si="20"/>
        <v>7</v>
      </c>
      <c r="K61" s="4">
        <f t="shared" si="9"/>
        <v>0</v>
      </c>
      <c r="L61" s="4">
        <f t="shared" si="10"/>
        <v>0</v>
      </c>
      <c r="M61" s="4">
        <f t="shared" si="11"/>
        <v>0</v>
      </c>
      <c r="N61" s="4">
        <f t="shared" si="12"/>
        <v>0</v>
      </c>
      <c r="O61" s="4">
        <f t="shared" si="13"/>
        <v>0</v>
      </c>
      <c r="P61" s="4">
        <f t="shared" si="14"/>
        <v>0</v>
      </c>
      <c r="Q61" s="4">
        <f t="shared" si="15"/>
        <v>7</v>
      </c>
      <c r="R61" s="4">
        <f t="shared" si="16"/>
        <v>0</v>
      </c>
      <c r="S61" s="4">
        <f t="shared" si="17"/>
        <v>0</v>
      </c>
      <c r="T61" s="4">
        <f t="shared" si="18"/>
        <v>0</v>
      </c>
    </row>
    <row r="62" spans="1:20">
      <c r="A62" s="4">
        <f>MIN(StopFreqGHz+0.000001,'7227'!A61+FreqStep)</f>
        <v>26.500001000000001</v>
      </c>
      <c r="B62" s="4">
        <f t="shared" si="19"/>
        <v>22.990000260000002</v>
      </c>
      <c r="C62" s="4">
        <f t="shared" si="1"/>
        <v>16.100000000000001</v>
      </c>
      <c r="D62" s="4">
        <f t="shared" si="2"/>
        <v>0.26</v>
      </c>
      <c r="E62" s="4">
        <f t="shared" si="3"/>
        <v>5</v>
      </c>
      <c r="F62" s="4">
        <f t="shared" si="4"/>
        <v>-8</v>
      </c>
      <c r="G62" s="4">
        <f t="shared" si="5"/>
        <v>-11</v>
      </c>
      <c r="H62" s="4">
        <f t="shared" si="6"/>
        <v>0.3</v>
      </c>
      <c r="I62" s="4">
        <f t="shared" si="7"/>
        <v>5</v>
      </c>
      <c r="J62" s="4">
        <f t="shared" si="20"/>
        <v>7</v>
      </c>
      <c r="K62" s="4">
        <f t="shared" si="9"/>
        <v>0</v>
      </c>
      <c r="L62" s="4">
        <f t="shared" si="10"/>
        <v>0</v>
      </c>
      <c r="M62" s="4">
        <f t="shared" si="11"/>
        <v>0</v>
      </c>
      <c r="N62" s="4">
        <f t="shared" si="12"/>
        <v>0</v>
      </c>
      <c r="O62" s="4">
        <f t="shared" si="13"/>
        <v>0</v>
      </c>
      <c r="P62" s="4">
        <f t="shared" si="14"/>
        <v>0</v>
      </c>
      <c r="Q62" s="4">
        <f t="shared" si="15"/>
        <v>7</v>
      </c>
      <c r="R62" s="4">
        <f t="shared" si="16"/>
        <v>0</v>
      </c>
      <c r="S62" s="4">
        <f t="shared" si="17"/>
        <v>0</v>
      </c>
      <c r="T62" s="4">
        <f t="shared" si="18"/>
        <v>0</v>
      </c>
    </row>
    <row r="63" spans="1:20">
      <c r="A63" s="4">
        <f>MIN(StopFreqGHz+0.000001,'7227'!A62+FreqStep)</f>
        <v>26.500001000000001</v>
      </c>
      <c r="B63" s="4">
        <f t="shared" si="19"/>
        <v>22.990000260000002</v>
      </c>
      <c r="C63" s="4">
        <f t="shared" si="1"/>
        <v>16.100000000000001</v>
      </c>
      <c r="D63" s="4">
        <f t="shared" si="2"/>
        <v>0.26</v>
      </c>
      <c r="E63" s="4">
        <f t="shared" si="3"/>
        <v>5</v>
      </c>
      <c r="F63" s="4">
        <f t="shared" si="4"/>
        <v>-8</v>
      </c>
      <c r="G63" s="4">
        <f t="shared" si="5"/>
        <v>-11</v>
      </c>
      <c r="H63" s="4">
        <f t="shared" si="6"/>
        <v>0.3</v>
      </c>
      <c r="I63" s="4">
        <f t="shared" si="7"/>
        <v>5</v>
      </c>
      <c r="J63" s="4">
        <f t="shared" si="20"/>
        <v>7</v>
      </c>
      <c r="K63" s="4">
        <f t="shared" si="9"/>
        <v>0</v>
      </c>
      <c r="L63" s="4">
        <f t="shared" si="10"/>
        <v>0</v>
      </c>
      <c r="M63" s="4">
        <f t="shared" si="11"/>
        <v>0</v>
      </c>
      <c r="N63" s="4">
        <f t="shared" si="12"/>
        <v>0</v>
      </c>
      <c r="O63" s="4">
        <f t="shared" si="13"/>
        <v>0</v>
      </c>
      <c r="P63" s="4">
        <f t="shared" si="14"/>
        <v>0</v>
      </c>
      <c r="Q63" s="4">
        <f t="shared" si="15"/>
        <v>7</v>
      </c>
      <c r="R63" s="4">
        <f t="shared" si="16"/>
        <v>0</v>
      </c>
      <c r="S63" s="4">
        <f t="shared" si="17"/>
        <v>0</v>
      </c>
      <c r="T63" s="4">
        <f t="shared" si="18"/>
        <v>0</v>
      </c>
    </row>
    <row r="64" spans="1:20">
      <c r="A64" s="4">
        <f>MIN(StopFreqGHz+0.000001,'7227'!A63+FreqStep)</f>
        <v>26.500001000000001</v>
      </c>
      <c r="B64" s="4">
        <f t="shared" si="19"/>
        <v>22.990000260000002</v>
      </c>
      <c r="C64" s="4">
        <f t="shared" si="1"/>
        <v>16.100000000000001</v>
      </c>
      <c r="D64" s="4">
        <f t="shared" si="2"/>
        <v>0.26</v>
      </c>
      <c r="E64" s="4">
        <f t="shared" si="3"/>
        <v>5</v>
      </c>
      <c r="F64" s="4">
        <f t="shared" si="4"/>
        <v>-8</v>
      </c>
      <c r="G64" s="4">
        <f t="shared" si="5"/>
        <v>-11</v>
      </c>
      <c r="H64" s="4">
        <f t="shared" si="6"/>
        <v>0.3</v>
      </c>
      <c r="I64" s="4">
        <f t="shared" si="7"/>
        <v>5</v>
      </c>
      <c r="J64" s="4">
        <f t="shared" si="20"/>
        <v>7</v>
      </c>
      <c r="K64" s="4">
        <f t="shared" si="9"/>
        <v>0</v>
      </c>
      <c r="L64" s="4">
        <f t="shared" si="10"/>
        <v>0</v>
      </c>
      <c r="M64" s="4">
        <f t="shared" si="11"/>
        <v>0</v>
      </c>
      <c r="N64" s="4">
        <f t="shared" si="12"/>
        <v>0</v>
      </c>
      <c r="O64" s="4">
        <f t="shared" si="13"/>
        <v>0</v>
      </c>
      <c r="P64" s="4">
        <f t="shared" si="14"/>
        <v>0</v>
      </c>
      <c r="Q64" s="4">
        <f t="shared" si="15"/>
        <v>7</v>
      </c>
      <c r="R64" s="4">
        <f t="shared" si="16"/>
        <v>0</v>
      </c>
      <c r="S64" s="4">
        <f t="shared" si="17"/>
        <v>0</v>
      </c>
      <c r="T64" s="4">
        <f t="shared" si="18"/>
        <v>0</v>
      </c>
    </row>
    <row r="65" spans="1:20">
      <c r="A65" s="4">
        <f>MIN(StopFreqGHz+0.000001,'7227'!A64+FreqStep)</f>
        <v>26.500001000000001</v>
      </c>
      <c r="B65" s="4">
        <f t="shared" si="19"/>
        <v>22.990000260000002</v>
      </c>
      <c r="C65" s="4">
        <f t="shared" si="1"/>
        <v>16.100000000000001</v>
      </c>
      <c r="D65" s="4">
        <f t="shared" si="2"/>
        <v>0.26</v>
      </c>
      <c r="E65" s="4">
        <f t="shared" si="3"/>
        <v>5</v>
      </c>
      <c r="F65" s="4">
        <f t="shared" si="4"/>
        <v>-8</v>
      </c>
      <c r="G65" s="4">
        <f t="shared" si="5"/>
        <v>-11</v>
      </c>
      <c r="H65" s="4">
        <f t="shared" si="6"/>
        <v>0.3</v>
      </c>
      <c r="I65" s="4">
        <f t="shared" si="7"/>
        <v>5</v>
      </c>
      <c r="J65" s="4">
        <f t="shared" si="20"/>
        <v>7</v>
      </c>
      <c r="K65" s="4">
        <f t="shared" si="9"/>
        <v>0</v>
      </c>
      <c r="L65" s="4">
        <f t="shared" si="10"/>
        <v>0</v>
      </c>
      <c r="M65" s="4">
        <f t="shared" si="11"/>
        <v>0</v>
      </c>
      <c r="N65" s="4">
        <f t="shared" si="12"/>
        <v>0</v>
      </c>
      <c r="O65" s="4">
        <f t="shared" si="13"/>
        <v>0</v>
      </c>
      <c r="P65" s="4">
        <f t="shared" si="14"/>
        <v>0</v>
      </c>
      <c r="Q65" s="4">
        <f t="shared" si="15"/>
        <v>7</v>
      </c>
      <c r="R65" s="4">
        <f t="shared" si="16"/>
        <v>0</v>
      </c>
      <c r="S65" s="4">
        <f t="shared" si="17"/>
        <v>0</v>
      </c>
      <c r="T65" s="4">
        <f t="shared" si="18"/>
        <v>0</v>
      </c>
    </row>
    <row r="66" spans="1:20">
      <c r="A66" s="4">
        <f>MIN(StopFreqGHz+0.000001,'7227'!A65+FreqStep)</f>
        <v>26.500001000000001</v>
      </c>
      <c r="B66" s="4">
        <f t="shared" si="19"/>
        <v>22.990000260000002</v>
      </c>
      <c r="C66" s="4">
        <f t="shared" si="1"/>
        <v>16.100000000000001</v>
      </c>
      <c r="D66" s="4">
        <f t="shared" si="2"/>
        <v>0.26</v>
      </c>
      <c r="E66" s="4">
        <f t="shared" si="3"/>
        <v>5</v>
      </c>
      <c r="F66" s="4">
        <f t="shared" si="4"/>
        <v>-8</v>
      </c>
      <c r="G66" s="4">
        <f t="shared" si="5"/>
        <v>-11</v>
      </c>
      <c r="H66" s="4">
        <f t="shared" si="6"/>
        <v>0.3</v>
      </c>
      <c r="I66" s="4">
        <f t="shared" si="7"/>
        <v>5</v>
      </c>
      <c r="J66" s="4">
        <f t="shared" si="20"/>
        <v>7</v>
      </c>
      <c r="K66" s="4">
        <f t="shared" si="9"/>
        <v>0</v>
      </c>
      <c r="L66" s="4">
        <f t="shared" si="10"/>
        <v>0</v>
      </c>
      <c r="M66" s="4">
        <f t="shared" si="11"/>
        <v>0</v>
      </c>
      <c r="N66" s="4">
        <f t="shared" si="12"/>
        <v>0</v>
      </c>
      <c r="O66" s="4">
        <f t="shared" si="13"/>
        <v>0</v>
      </c>
      <c r="P66" s="4">
        <f t="shared" si="14"/>
        <v>0</v>
      </c>
      <c r="Q66" s="4">
        <f t="shared" si="15"/>
        <v>7</v>
      </c>
      <c r="R66" s="4">
        <f t="shared" si="16"/>
        <v>0</v>
      </c>
      <c r="S66" s="4">
        <f t="shared" si="17"/>
        <v>0</v>
      </c>
      <c r="T66" s="4">
        <f t="shared" si="18"/>
        <v>0</v>
      </c>
    </row>
    <row r="67" spans="1:20">
      <c r="A67" s="4">
        <f>MIN(StopFreqGHz+0.000001,'7227'!A66+FreqStep)</f>
        <v>26.500001000000001</v>
      </c>
      <c r="B67" s="4">
        <f t="shared" si="19"/>
        <v>22.990000260000002</v>
      </c>
      <c r="C67" s="4">
        <f t="shared" si="1"/>
        <v>16.100000000000001</v>
      </c>
      <c r="D67" s="4">
        <f t="shared" si="2"/>
        <v>0.26</v>
      </c>
      <c r="E67" s="4">
        <f t="shared" si="3"/>
        <v>5</v>
      </c>
      <c r="F67" s="4">
        <f t="shared" si="4"/>
        <v>-8</v>
      </c>
      <c r="G67" s="4">
        <f t="shared" si="5"/>
        <v>-11</v>
      </c>
      <c r="H67" s="4">
        <f t="shared" si="6"/>
        <v>0.3</v>
      </c>
      <c r="I67" s="4">
        <f t="shared" si="7"/>
        <v>5</v>
      </c>
      <c r="J67" s="4">
        <f t="shared" si="20"/>
        <v>7</v>
      </c>
      <c r="K67" s="4">
        <f t="shared" si="9"/>
        <v>0</v>
      </c>
      <c r="L67" s="4">
        <f t="shared" si="10"/>
        <v>0</v>
      </c>
      <c r="M67" s="4">
        <f t="shared" si="11"/>
        <v>0</v>
      </c>
      <c r="N67" s="4">
        <f t="shared" si="12"/>
        <v>0</v>
      </c>
      <c r="O67" s="4">
        <f t="shared" si="13"/>
        <v>0</v>
      </c>
      <c r="P67" s="4">
        <f t="shared" si="14"/>
        <v>0</v>
      </c>
      <c r="Q67" s="4">
        <f t="shared" si="15"/>
        <v>7</v>
      </c>
      <c r="R67" s="4">
        <f t="shared" si="16"/>
        <v>0</v>
      </c>
      <c r="S67" s="4">
        <f t="shared" si="17"/>
        <v>0</v>
      </c>
      <c r="T67" s="4">
        <f t="shared" si="18"/>
        <v>0</v>
      </c>
    </row>
    <row r="68" spans="1:20">
      <c r="A68" s="4">
        <f>MIN(StopFreqGHz+0.000001,'7227'!A67+FreqStep)</f>
        <v>26.500001000000001</v>
      </c>
      <c r="B68" s="4">
        <f t="shared" si="19"/>
        <v>22.990000260000002</v>
      </c>
      <c r="C68" s="4">
        <f t="shared" si="1"/>
        <v>16.100000000000001</v>
      </c>
      <c r="D68" s="4">
        <f t="shared" si="2"/>
        <v>0.26</v>
      </c>
      <c r="E68" s="4">
        <f t="shared" si="3"/>
        <v>5</v>
      </c>
      <c r="F68" s="4">
        <f t="shared" si="4"/>
        <v>-8</v>
      </c>
      <c r="G68" s="4">
        <f t="shared" si="5"/>
        <v>-11</v>
      </c>
      <c r="H68" s="4">
        <f t="shared" si="6"/>
        <v>0.3</v>
      </c>
      <c r="I68" s="4">
        <f t="shared" si="7"/>
        <v>5</v>
      </c>
      <c r="J68" s="4">
        <f t="shared" si="20"/>
        <v>7</v>
      </c>
      <c r="K68" s="4">
        <f t="shared" si="9"/>
        <v>0</v>
      </c>
      <c r="L68" s="4">
        <f t="shared" si="10"/>
        <v>0</v>
      </c>
      <c r="M68" s="4">
        <f t="shared" si="11"/>
        <v>0</v>
      </c>
      <c r="N68" s="4">
        <f t="shared" si="12"/>
        <v>0</v>
      </c>
      <c r="O68" s="4">
        <f t="shared" si="13"/>
        <v>0</v>
      </c>
      <c r="P68" s="4">
        <f t="shared" si="14"/>
        <v>0</v>
      </c>
      <c r="Q68" s="4">
        <f t="shared" si="15"/>
        <v>7</v>
      </c>
      <c r="R68" s="4">
        <f t="shared" si="16"/>
        <v>0</v>
      </c>
      <c r="S68" s="4">
        <f t="shared" si="17"/>
        <v>0</v>
      </c>
      <c r="T68" s="4">
        <f t="shared" si="18"/>
        <v>0</v>
      </c>
    </row>
    <row r="69" spans="1:20">
      <c r="A69" s="4">
        <f>MIN(StopFreqGHz+0.000001,'7227'!A68+FreqStep)</f>
        <v>26.500001000000001</v>
      </c>
      <c r="B69" s="4">
        <f t="shared" si="19"/>
        <v>22.990000260000002</v>
      </c>
      <c r="C69" s="4">
        <f t="shared" si="1"/>
        <v>16.100000000000001</v>
      </c>
      <c r="D69" s="4">
        <f t="shared" si="2"/>
        <v>0.26</v>
      </c>
      <c r="E69" s="4">
        <f t="shared" si="3"/>
        <v>5</v>
      </c>
      <c r="F69" s="4">
        <f t="shared" si="4"/>
        <v>-8</v>
      </c>
      <c r="G69" s="4">
        <f t="shared" si="5"/>
        <v>-11</v>
      </c>
      <c r="H69" s="4">
        <f t="shared" si="6"/>
        <v>0.3</v>
      </c>
      <c r="I69" s="4">
        <f t="shared" si="7"/>
        <v>5</v>
      </c>
      <c r="J69" s="4">
        <f t="shared" si="20"/>
        <v>7</v>
      </c>
      <c r="K69" s="4">
        <f t="shared" si="9"/>
        <v>0</v>
      </c>
      <c r="L69" s="4">
        <f t="shared" si="10"/>
        <v>0</v>
      </c>
      <c r="M69" s="4">
        <f t="shared" si="11"/>
        <v>0</v>
      </c>
      <c r="N69" s="4">
        <f t="shared" si="12"/>
        <v>0</v>
      </c>
      <c r="O69" s="4">
        <f t="shared" si="13"/>
        <v>0</v>
      </c>
      <c r="P69" s="4">
        <f t="shared" si="14"/>
        <v>0</v>
      </c>
      <c r="Q69" s="4">
        <f t="shared" si="15"/>
        <v>7</v>
      </c>
      <c r="R69" s="4">
        <f t="shared" si="16"/>
        <v>0</v>
      </c>
      <c r="S69" s="4">
        <f t="shared" si="17"/>
        <v>0</v>
      </c>
      <c r="T69" s="4">
        <f t="shared" si="18"/>
        <v>0</v>
      </c>
    </row>
    <row r="70" spans="1:20">
      <c r="A70" s="4">
        <f>MIN(StopFreqGHz+0.000001,'7227'!A69+FreqStep)</f>
        <v>26.500001000000001</v>
      </c>
      <c r="B70" s="4">
        <f t="shared" si="19"/>
        <v>22.990000260000002</v>
      </c>
      <c r="C70" s="4">
        <f t="shared" ref="C70:C106" si="21">CHOOSE($J70,$AA$4,$AA$5,$AA$6,$AA$7,$AA$8,$AA$9,$AA$10,$AA$11,$AA$12,$AA$13)</f>
        <v>16.100000000000001</v>
      </c>
      <c r="D70" s="4">
        <f t="shared" ref="D70:D106" si="22">CHOOSE($J70,$AE$4,$AE$5,$AE$6,$AE$7,$AE$8,$AE$9,$AE$10,$AE$11,$AE$12,$AE$13)</f>
        <v>0.26</v>
      </c>
      <c r="E70" s="4">
        <f t="shared" ref="E70:E106" si="23">CHOOSE($J70,$AI$4,$AI$5,$AI$6,$AI$7,$AI$8,$AI$9,$AI$10,$AI$11,$AI$12,$AI$13)</f>
        <v>5</v>
      </c>
      <c r="F70" s="4">
        <f t="shared" ref="F70:F106" si="24">CHOOSE($J70,$AM$4,$AM$5,$AM$6,$AM$7,$AM$8,$AM$9,$AM$10,$AM$11,$AM$12,$AM$13)</f>
        <v>-8</v>
      </c>
      <c r="G70" s="4">
        <f t="shared" ref="G70:G106" si="25">CHOOSE($J70,$AQ$4,$AQ$5,$AQ$6,$AQ$7,$AQ$8,$AQ$9,$AQ$10,$AQ$11,$AQ$12,$AQ$13)</f>
        <v>-11</v>
      </c>
      <c r="H70" s="4">
        <f t="shared" ref="H70:H106" si="26">CHOOSE($J70,$AU$4,$AU$5,$AU$6,$AU$7,$AU$8,$AU$9,$AU$10,$AU$11,$AU$12,$AU$13)</f>
        <v>0.3</v>
      </c>
      <c r="I70" s="4">
        <f t="shared" ref="I70:I106" si="27">CHOOSE($J70,$AY$4,$AY$5,$AY$6,$AY$7,$AY$8,$AY$9,$AY$10,$AY$11,$AY$12,$AY$13)</f>
        <v>5</v>
      </c>
      <c r="J70" s="4">
        <f t="shared" si="20"/>
        <v>7</v>
      </c>
      <c r="K70" s="4">
        <f t="shared" ref="K70:K106" si="28">1*AND($A70&gt;=$V$4,$A70&lt;$W$4)</f>
        <v>0</v>
      </c>
      <c r="L70" s="4">
        <f t="shared" ref="L70:L106" si="29">2*AND($A70&gt;=$V$5,$A70&lt;$W$5)</f>
        <v>0</v>
      </c>
      <c r="M70" s="4">
        <f t="shared" ref="M70:M106" si="30">3*AND($A70&gt;=$V$6,$A70&lt;$W$6)</f>
        <v>0</v>
      </c>
      <c r="N70" s="4">
        <f t="shared" ref="N70:N106" si="31">4*AND($A70&gt;=$V$7,$A70&lt;$W$7)</f>
        <v>0</v>
      </c>
      <c r="O70" s="4">
        <f t="shared" ref="O70:O106" si="32">5*AND($A70&gt;=$V$8,$A70&lt;$W$8)</f>
        <v>0</v>
      </c>
      <c r="P70" s="4">
        <f t="shared" ref="P70:P106" si="33">6*AND($A70&gt;=$V$9,$A70&lt;$W$9)</f>
        <v>0</v>
      </c>
      <c r="Q70" s="4">
        <f t="shared" ref="Q70:Q106" si="34">7*AND($A70&gt;=$V$10,$A70&lt;$W$10)</f>
        <v>7</v>
      </c>
      <c r="R70" s="4">
        <f t="shared" ref="R70:R106" si="35">8*AND($A70&gt;=$V$11,$A70&lt;$W$11)</f>
        <v>0</v>
      </c>
      <c r="S70" s="4">
        <f t="shared" ref="S70:S106" si="36">9*AND($A70&gt;=$V$12,$A70&lt;$W$12)</f>
        <v>0</v>
      </c>
      <c r="T70" s="4">
        <f t="shared" ref="T70:T106" si="37">10*AND($A70&gt;=$V$13,$A70&lt;$W$13)</f>
        <v>0</v>
      </c>
    </row>
    <row r="71" spans="1:20">
      <c r="A71" s="4">
        <f>MIN(StopFreqGHz+0.000001,'7227'!A70+FreqStep)</f>
        <v>26.500001000000001</v>
      </c>
      <c r="B71" s="4">
        <f t="shared" si="19"/>
        <v>22.990000260000002</v>
      </c>
      <c r="C71" s="4">
        <f t="shared" si="21"/>
        <v>16.100000000000001</v>
      </c>
      <c r="D71" s="4">
        <f t="shared" si="22"/>
        <v>0.26</v>
      </c>
      <c r="E71" s="4">
        <f t="shared" si="23"/>
        <v>5</v>
      </c>
      <c r="F71" s="4">
        <f t="shared" si="24"/>
        <v>-8</v>
      </c>
      <c r="G71" s="4">
        <f t="shared" si="25"/>
        <v>-11</v>
      </c>
      <c r="H71" s="4">
        <f t="shared" si="26"/>
        <v>0.3</v>
      </c>
      <c r="I71" s="4">
        <f t="shared" si="27"/>
        <v>5</v>
      </c>
      <c r="J71" s="4">
        <f t="shared" si="20"/>
        <v>7</v>
      </c>
      <c r="K71" s="4">
        <f t="shared" si="28"/>
        <v>0</v>
      </c>
      <c r="L71" s="4">
        <f t="shared" si="29"/>
        <v>0</v>
      </c>
      <c r="M71" s="4">
        <f t="shared" si="30"/>
        <v>0</v>
      </c>
      <c r="N71" s="4">
        <f t="shared" si="31"/>
        <v>0</v>
      </c>
      <c r="O71" s="4">
        <f t="shared" si="32"/>
        <v>0</v>
      </c>
      <c r="P71" s="4">
        <f t="shared" si="33"/>
        <v>0</v>
      </c>
      <c r="Q71" s="4">
        <f t="shared" si="34"/>
        <v>7</v>
      </c>
      <c r="R71" s="4">
        <f t="shared" si="35"/>
        <v>0</v>
      </c>
      <c r="S71" s="4">
        <f t="shared" si="36"/>
        <v>0</v>
      </c>
      <c r="T71" s="4">
        <f t="shared" si="37"/>
        <v>0</v>
      </c>
    </row>
    <row r="72" spans="1:20">
      <c r="A72" s="4">
        <f>MIN(StopFreqGHz+0.000001,'7227'!A71+FreqStep)</f>
        <v>26.500001000000001</v>
      </c>
      <c r="B72" s="4">
        <f t="shared" si="19"/>
        <v>22.990000260000002</v>
      </c>
      <c r="C72" s="4">
        <f t="shared" si="21"/>
        <v>16.100000000000001</v>
      </c>
      <c r="D72" s="4">
        <f t="shared" si="22"/>
        <v>0.26</v>
      </c>
      <c r="E72" s="4">
        <f t="shared" si="23"/>
        <v>5</v>
      </c>
      <c r="F72" s="4">
        <f t="shared" si="24"/>
        <v>-8</v>
      </c>
      <c r="G72" s="4">
        <f t="shared" si="25"/>
        <v>-11</v>
      </c>
      <c r="H72" s="4">
        <f t="shared" si="26"/>
        <v>0.3</v>
      </c>
      <c r="I72" s="4">
        <f t="shared" si="27"/>
        <v>5</v>
      </c>
      <c r="J72" s="4">
        <f t="shared" si="20"/>
        <v>7</v>
      </c>
      <c r="K72" s="4">
        <f t="shared" si="28"/>
        <v>0</v>
      </c>
      <c r="L72" s="4">
        <f t="shared" si="29"/>
        <v>0</v>
      </c>
      <c r="M72" s="4">
        <f t="shared" si="30"/>
        <v>0</v>
      </c>
      <c r="N72" s="4">
        <f t="shared" si="31"/>
        <v>0</v>
      </c>
      <c r="O72" s="4">
        <f t="shared" si="32"/>
        <v>0</v>
      </c>
      <c r="P72" s="4">
        <f t="shared" si="33"/>
        <v>0</v>
      </c>
      <c r="Q72" s="4">
        <f t="shared" si="34"/>
        <v>7</v>
      </c>
      <c r="R72" s="4">
        <f t="shared" si="35"/>
        <v>0</v>
      </c>
      <c r="S72" s="4">
        <f t="shared" si="36"/>
        <v>0</v>
      </c>
      <c r="T72" s="4">
        <f t="shared" si="37"/>
        <v>0</v>
      </c>
    </row>
    <row r="73" spans="1:20">
      <c r="A73" s="4">
        <f>MIN(StopFreqGHz+0.000001,'7227'!A72+FreqStep)</f>
        <v>26.500001000000001</v>
      </c>
      <c r="B73" s="4">
        <f t="shared" si="19"/>
        <v>22.990000260000002</v>
      </c>
      <c r="C73" s="4">
        <f t="shared" si="21"/>
        <v>16.100000000000001</v>
      </c>
      <c r="D73" s="4">
        <f t="shared" si="22"/>
        <v>0.26</v>
      </c>
      <c r="E73" s="4">
        <f t="shared" si="23"/>
        <v>5</v>
      </c>
      <c r="F73" s="4">
        <f t="shared" si="24"/>
        <v>-8</v>
      </c>
      <c r="G73" s="4">
        <f t="shared" si="25"/>
        <v>-11</v>
      </c>
      <c r="H73" s="4">
        <f t="shared" si="26"/>
        <v>0.3</v>
      </c>
      <c r="I73" s="4">
        <f t="shared" si="27"/>
        <v>5</v>
      </c>
      <c r="J73" s="4">
        <f t="shared" si="20"/>
        <v>7</v>
      </c>
      <c r="K73" s="4">
        <f t="shared" si="28"/>
        <v>0</v>
      </c>
      <c r="L73" s="4">
        <f t="shared" si="29"/>
        <v>0</v>
      </c>
      <c r="M73" s="4">
        <f t="shared" si="30"/>
        <v>0</v>
      </c>
      <c r="N73" s="4">
        <f t="shared" si="31"/>
        <v>0</v>
      </c>
      <c r="O73" s="4">
        <f t="shared" si="32"/>
        <v>0</v>
      </c>
      <c r="P73" s="4">
        <f t="shared" si="33"/>
        <v>0</v>
      </c>
      <c r="Q73" s="4">
        <f t="shared" si="34"/>
        <v>7</v>
      </c>
      <c r="R73" s="4">
        <f t="shared" si="35"/>
        <v>0</v>
      </c>
      <c r="S73" s="4">
        <f t="shared" si="36"/>
        <v>0</v>
      </c>
      <c r="T73" s="4">
        <f t="shared" si="37"/>
        <v>0</v>
      </c>
    </row>
    <row r="74" spans="1:20">
      <c r="A74" s="4">
        <f>MIN(StopFreqGHz+0.000001,'7227'!A73+FreqStep)</f>
        <v>26.500001000000001</v>
      </c>
      <c r="B74" s="4">
        <f t="shared" si="19"/>
        <v>22.990000260000002</v>
      </c>
      <c r="C74" s="4">
        <f t="shared" si="21"/>
        <v>16.100000000000001</v>
      </c>
      <c r="D74" s="4">
        <f t="shared" si="22"/>
        <v>0.26</v>
      </c>
      <c r="E74" s="4">
        <f t="shared" si="23"/>
        <v>5</v>
      </c>
      <c r="F74" s="4">
        <f t="shared" si="24"/>
        <v>-8</v>
      </c>
      <c r="G74" s="4">
        <f t="shared" si="25"/>
        <v>-11</v>
      </c>
      <c r="H74" s="4">
        <f t="shared" si="26"/>
        <v>0.3</v>
      </c>
      <c r="I74" s="4">
        <f t="shared" si="27"/>
        <v>5</v>
      </c>
      <c r="J74" s="4">
        <f t="shared" si="20"/>
        <v>7</v>
      </c>
      <c r="K74" s="4">
        <f t="shared" si="28"/>
        <v>0</v>
      </c>
      <c r="L74" s="4">
        <f t="shared" si="29"/>
        <v>0</v>
      </c>
      <c r="M74" s="4">
        <f t="shared" si="30"/>
        <v>0</v>
      </c>
      <c r="N74" s="4">
        <f t="shared" si="31"/>
        <v>0</v>
      </c>
      <c r="O74" s="4">
        <f t="shared" si="32"/>
        <v>0</v>
      </c>
      <c r="P74" s="4">
        <f t="shared" si="33"/>
        <v>0</v>
      </c>
      <c r="Q74" s="4">
        <f t="shared" si="34"/>
        <v>7</v>
      </c>
      <c r="R74" s="4">
        <f t="shared" si="35"/>
        <v>0</v>
      </c>
      <c r="S74" s="4">
        <f t="shared" si="36"/>
        <v>0</v>
      </c>
      <c r="T74" s="4">
        <f t="shared" si="37"/>
        <v>0</v>
      </c>
    </row>
    <row r="75" spans="1:20">
      <c r="A75" s="4">
        <f>MIN(StopFreqGHz+0.000001,'7227'!A74+FreqStep)</f>
        <v>26.500001000000001</v>
      </c>
      <c r="B75" s="4">
        <f t="shared" si="19"/>
        <v>22.990000260000002</v>
      </c>
      <c r="C75" s="4">
        <f t="shared" si="21"/>
        <v>16.100000000000001</v>
      </c>
      <c r="D75" s="4">
        <f t="shared" si="22"/>
        <v>0.26</v>
      </c>
      <c r="E75" s="4">
        <f t="shared" si="23"/>
        <v>5</v>
      </c>
      <c r="F75" s="4">
        <f t="shared" si="24"/>
        <v>-8</v>
      </c>
      <c r="G75" s="4">
        <f t="shared" si="25"/>
        <v>-11</v>
      </c>
      <c r="H75" s="4">
        <f t="shared" si="26"/>
        <v>0.3</v>
      </c>
      <c r="I75" s="4">
        <f t="shared" si="27"/>
        <v>5</v>
      </c>
      <c r="J75" s="4">
        <f t="shared" si="20"/>
        <v>7</v>
      </c>
      <c r="K75" s="4">
        <f t="shared" si="28"/>
        <v>0</v>
      </c>
      <c r="L75" s="4">
        <f t="shared" si="29"/>
        <v>0</v>
      </c>
      <c r="M75" s="4">
        <f t="shared" si="30"/>
        <v>0</v>
      </c>
      <c r="N75" s="4">
        <f t="shared" si="31"/>
        <v>0</v>
      </c>
      <c r="O75" s="4">
        <f t="shared" si="32"/>
        <v>0</v>
      </c>
      <c r="P75" s="4">
        <f t="shared" si="33"/>
        <v>0</v>
      </c>
      <c r="Q75" s="4">
        <f t="shared" si="34"/>
        <v>7</v>
      </c>
      <c r="R75" s="4">
        <f t="shared" si="35"/>
        <v>0</v>
      </c>
      <c r="S75" s="4">
        <f t="shared" si="36"/>
        <v>0</v>
      </c>
      <c r="T75" s="4">
        <f t="shared" si="37"/>
        <v>0</v>
      </c>
    </row>
    <row r="76" spans="1:20">
      <c r="A76" s="4">
        <f>MIN(StopFreqGHz+0.000001,'7227'!A75+FreqStep)</f>
        <v>26.500001000000001</v>
      </c>
      <c r="B76" s="4">
        <f t="shared" si="19"/>
        <v>22.990000260000002</v>
      </c>
      <c r="C76" s="4">
        <f t="shared" si="21"/>
        <v>16.100000000000001</v>
      </c>
      <c r="D76" s="4">
        <f t="shared" si="22"/>
        <v>0.26</v>
      </c>
      <c r="E76" s="4">
        <f t="shared" si="23"/>
        <v>5</v>
      </c>
      <c r="F76" s="4">
        <f t="shared" si="24"/>
        <v>-8</v>
      </c>
      <c r="G76" s="4">
        <f t="shared" si="25"/>
        <v>-11</v>
      </c>
      <c r="H76" s="4">
        <f t="shared" si="26"/>
        <v>0.3</v>
      </c>
      <c r="I76" s="4">
        <f t="shared" si="27"/>
        <v>5</v>
      </c>
      <c r="J76" s="4">
        <f t="shared" si="20"/>
        <v>7</v>
      </c>
      <c r="K76" s="4">
        <f t="shared" si="28"/>
        <v>0</v>
      </c>
      <c r="L76" s="4">
        <f t="shared" si="29"/>
        <v>0</v>
      </c>
      <c r="M76" s="4">
        <f t="shared" si="30"/>
        <v>0</v>
      </c>
      <c r="N76" s="4">
        <f t="shared" si="31"/>
        <v>0</v>
      </c>
      <c r="O76" s="4">
        <f t="shared" si="32"/>
        <v>0</v>
      </c>
      <c r="P76" s="4">
        <f t="shared" si="33"/>
        <v>0</v>
      </c>
      <c r="Q76" s="4">
        <f t="shared" si="34"/>
        <v>7</v>
      </c>
      <c r="R76" s="4">
        <f t="shared" si="35"/>
        <v>0</v>
      </c>
      <c r="S76" s="4">
        <f t="shared" si="36"/>
        <v>0</v>
      </c>
      <c r="T76" s="4">
        <f t="shared" si="37"/>
        <v>0</v>
      </c>
    </row>
    <row r="77" spans="1:20">
      <c r="A77" s="4">
        <f>MIN(StopFreqGHz+0.000001,'7227'!A76+FreqStep)</f>
        <v>26.500001000000001</v>
      </c>
      <c r="B77" s="4">
        <f t="shared" si="19"/>
        <v>22.990000260000002</v>
      </c>
      <c r="C77" s="4">
        <f t="shared" si="21"/>
        <v>16.100000000000001</v>
      </c>
      <c r="D77" s="4">
        <f t="shared" si="22"/>
        <v>0.26</v>
      </c>
      <c r="E77" s="4">
        <f t="shared" si="23"/>
        <v>5</v>
      </c>
      <c r="F77" s="4">
        <f t="shared" si="24"/>
        <v>-8</v>
      </c>
      <c r="G77" s="4">
        <f t="shared" si="25"/>
        <v>-11</v>
      </c>
      <c r="H77" s="4">
        <f t="shared" si="26"/>
        <v>0.3</v>
      </c>
      <c r="I77" s="4">
        <f t="shared" si="27"/>
        <v>5</v>
      </c>
      <c r="J77" s="4">
        <f t="shared" si="20"/>
        <v>7</v>
      </c>
      <c r="K77" s="4">
        <f t="shared" si="28"/>
        <v>0</v>
      </c>
      <c r="L77" s="4">
        <f t="shared" si="29"/>
        <v>0</v>
      </c>
      <c r="M77" s="4">
        <f t="shared" si="30"/>
        <v>0</v>
      </c>
      <c r="N77" s="4">
        <f t="shared" si="31"/>
        <v>0</v>
      </c>
      <c r="O77" s="4">
        <f t="shared" si="32"/>
        <v>0</v>
      </c>
      <c r="P77" s="4">
        <f t="shared" si="33"/>
        <v>0</v>
      </c>
      <c r="Q77" s="4">
        <f t="shared" si="34"/>
        <v>7</v>
      </c>
      <c r="R77" s="4">
        <f t="shared" si="35"/>
        <v>0</v>
      </c>
      <c r="S77" s="4">
        <f t="shared" si="36"/>
        <v>0</v>
      </c>
      <c r="T77" s="4">
        <f t="shared" si="37"/>
        <v>0</v>
      </c>
    </row>
    <row r="78" spans="1:20">
      <c r="A78" s="4">
        <f>MIN(StopFreqGHz+0.000001,'7227'!A77+FreqStep)</f>
        <v>26.500001000000001</v>
      </c>
      <c r="B78" s="4">
        <f t="shared" si="19"/>
        <v>22.990000260000002</v>
      </c>
      <c r="C78" s="4">
        <f t="shared" si="21"/>
        <v>16.100000000000001</v>
      </c>
      <c r="D78" s="4">
        <f t="shared" si="22"/>
        <v>0.26</v>
      </c>
      <c r="E78" s="4">
        <f t="shared" si="23"/>
        <v>5</v>
      </c>
      <c r="F78" s="4">
        <f t="shared" si="24"/>
        <v>-8</v>
      </c>
      <c r="G78" s="4">
        <f t="shared" si="25"/>
        <v>-11</v>
      </c>
      <c r="H78" s="4">
        <f t="shared" si="26"/>
        <v>0.3</v>
      </c>
      <c r="I78" s="4">
        <f t="shared" si="27"/>
        <v>5</v>
      </c>
      <c r="J78" s="4">
        <f t="shared" si="20"/>
        <v>7</v>
      </c>
      <c r="K78" s="4">
        <f t="shared" si="28"/>
        <v>0</v>
      </c>
      <c r="L78" s="4">
        <f t="shared" si="29"/>
        <v>0</v>
      </c>
      <c r="M78" s="4">
        <f t="shared" si="30"/>
        <v>0</v>
      </c>
      <c r="N78" s="4">
        <f t="shared" si="31"/>
        <v>0</v>
      </c>
      <c r="O78" s="4">
        <f t="shared" si="32"/>
        <v>0</v>
      </c>
      <c r="P78" s="4">
        <f t="shared" si="33"/>
        <v>0</v>
      </c>
      <c r="Q78" s="4">
        <f t="shared" si="34"/>
        <v>7</v>
      </c>
      <c r="R78" s="4">
        <f t="shared" si="35"/>
        <v>0</v>
      </c>
      <c r="S78" s="4">
        <f t="shared" si="36"/>
        <v>0</v>
      </c>
      <c r="T78" s="4">
        <f t="shared" si="37"/>
        <v>0</v>
      </c>
    </row>
    <row r="79" spans="1:20">
      <c r="A79" s="4">
        <f>MIN(StopFreqGHz+0.000001,'7227'!A78+FreqStep)</f>
        <v>26.500001000000001</v>
      </c>
      <c r="B79" s="4">
        <f t="shared" si="19"/>
        <v>22.990000260000002</v>
      </c>
      <c r="C79" s="4">
        <f t="shared" si="21"/>
        <v>16.100000000000001</v>
      </c>
      <c r="D79" s="4">
        <f t="shared" si="22"/>
        <v>0.26</v>
      </c>
      <c r="E79" s="4">
        <f t="shared" si="23"/>
        <v>5</v>
      </c>
      <c r="F79" s="4">
        <f t="shared" si="24"/>
        <v>-8</v>
      </c>
      <c r="G79" s="4">
        <f t="shared" si="25"/>
        <v>-11</v>
      </c>
      <c r="H79" s="4">
        <f t="shared" si="26"/>
        <v>0.3</v>
      </c>
      <c r="I79" s="4">
        <f t="shared" si="27"/>
        <v>5</v>
      </c>
      <c r="J79" s="4">
        <f t="shared" si="20"/>
        <v>7</v>
      </c>
      <c r="K79" s="4">
        <f t="shared" si="28"/>
        <v>0</v>
      </c>
      <c r="L79" s="4">
        <f t="shared" si="29"/>
        <v>0</v>
      </c>
      <c r="M79" s="4">
        <f t="shared" si="30"/>
        <v>0</v>
      </c>
      <c r="N79" s="4">
        <f t="shared" si="31"/>
        <v>0</v>
      </c>
      <c r="O79" s="4">
        <f t="shared" si="32"/>
        <v>0</v>
      </c>
      <c r="P79" s="4">
        <f t="shared" si="33"/>
        <v>0</v>
      </c>
      <c r="Q79" s="4">
        <f t="shared" si="34"/>
        <v>7</v>
      </c>
      <c r="R79" s="4">
        <f t="shared" si="35"/>
        <v>0</v>
      </c>
      <c r="S79" s="4">
        <f t="shared" si="36"/>
        <v>0</v>
      </c>
      <c r="T79" s="4">
        <f t="shared" si="37"/>
        <v>0</v>
      </c>
    </row>
    <row r="80" spans="1:20">
      <c r="A80" s="4">
        <f>MIN(StopFreqGHz+0.000001,'7227'!A79+FreqStep)</f>
        <v>26.500001000000001</v>
      </c>
      <c r="B80" s="4">
        <f t="shared" ref="B80:B106" si="38">C80+A80*D80</f>
        <v>22.990000260000002</v>
      </c>
      <c r="C80" s="4">
        <f t="shared" si="21"/>
        <v>16.100000000000001</v>
      </c>
      <c r="D80" s="4">
        <f t="shared" si="22"/>
        <v>0.26</v>
      </c>
      <c r="E80" s="4">
        <f t="shared" si="23"/>
        <v>5</v>
      </c>
      <c r="F80" s="4">
        <f t="shared" si="24"/>
        <v>-8</v>
      </c>
      <c r="G80" s="4">
        <f t="shared" si="25"/>
        <v>-11</v>
      </c>
      <c r="H80" s="4">
        <f t="shared" si="26"/>
        <v>0.3</v>
      </c>
      <c r="I80" s="4">
        <f t="shared" si="27"/>
        <v>5</v>
      </c>
      <c r="J80" s="4">
        <f t="shared" ref="J80:J106" si="39">SUM(K80:T80)</f>
        <v>7</v>
      </c>
      <c r="K80" s="4">
        <f t="shared" si="28"/>
        <v>0</v>
      </c>
      <c r="L80" s="4">
        <f t="shared" si="29"/>
        <v>0</v>
      </c>
      <c r="M80" s="4">
        <f t="shared" si="30"/>
        <v>0</v>
      </c>
      <c r="N80" s="4">
        <f t="shared" si="31"/>
        <v>0</v>
      </c>
      <c r="O80" s="4">
        <f t="shared" si="32"/>
        <v>0</v>
      </c>
      <c r="P80" s="4">
        <f t="shared" si="33"/>
        <v>0</v>
      </c>
      <c r="Q80" s="4">
        <f t="shared" si="34"/>
        <v>7</v>
      </c>
      <c r="R80" s="4">
        <f t="shared" si="35"/>
        <v>0</v>
      </c>
      <c r="S80" s="4">
        <f t="shared" si="36"/>
        <v>0</v>
      </c>
      <c r="T80" s="4">
        <f t="shared" si="37"/>
        <v>0</v>
      </c>
    </row>
    <row r="81" spans="1:20">
      <c r="A81" s="4">
        <f>MIN(StopFreqGHz+0.000001,'7227'!A80+FreqStep)</f>
        <v>26.500001000000001</v>
      </c>
      <c r="B81" s="4">
        <f t="shared" si="38"/>
        <v>22.990000260000002</v>
      </c>
      <c r="C81" s="4">
        <f t="shared" si="21"/>
        <v>16.100000000000001</v>
      </c>
      <c r="D81" s="4">
        <f t="shared" si="22"/>
        <v>0.26</v>
      </c>
      <c r="E81" s="4">
        <f t="shared" si="23"/>
        <v>5</v>
      </c>
      <c r="F81" s="4">
        <f t="shared" si="24"/>
        <v>-8</v>
      </c>
      <c r="G81" s="4">
        <f t="shared" si="25"/>
        <v>-11</v>
      </c>
      <c r="H81" s="4">
        <f t="shared" si="26"/>
        <v>0.3</v>
      </c>
      <c r="I81" s="4">
        <f t="shared" si="27"/>
        <v>5</v>
      </c>
      <c r="J81" s="4">
        <f t="shared" si="39"/>
        <v>7</v>
      </c>
      <c r="K81" s="4">
        <f t="shared" si="28"/>
        <v>0</v>
      </c>
      <c r="L81" s="4">
        <f t="shared" si="29"/>
        <v>0</v>
      </c>
      <c r="M81" s="4">
        <f t="shared" si="30"/>
        <v>0</v>
      </c>
      <c r="N81" s="4">
        <f t="shared" si="31"/>
        <v>0</v>
      </c>
      <c r="O81" s="4">
        <f t="shared" si="32"/>
        <v>0</v>
      </c>
      <c r="P81" s="4">
        <f t="shared" si="33"/>
        <v>0</v>
      </c>
      <c r="Q81" s="4">
        <f t="shared" si="34"/>
        <v>7</v>
      </c>
      <c r="R81" s="4">
        <f t="shared" si="35"/>
        <v>0</v>
      </c>
      <c r="S81" s="4">
        <f t="shared" si="36"/>
        <v>0</v>
      </c>
      <c r="T81" s="4">
        <f t="shared" si="37"/>
        <v>0</v>
      </c>
    </row>
    <row r="82" spans="1:20">
      <c r="A82" s="4">
        <f>MIN(StopFreqGHz+0.000001,'7227'!A81+FreqStep)</f>
        <v>26.500001000000001</v>
      </c>
      <c r="B82" s="4">
        <f t="shared" si="38"/>
        <v>22.990000260000002</v>
      </c>
      <c r="C82" s="4">
        <f t="shared" si="21"/>
        <v>16.100000000000001</v>
      </c>
      <c r="D82" s="4">
        <f t="shared" si="22"/>
        <v>0.26</v>
      </c>
      <c r="E82" s="4">
        <f t="shared" si="23"/>
        <v>5</v>
      </c>
      <c r="F82" s="4">
        <f t="shared" si="24"/>
        <v>-8</v>
      </c>
      <c r="G82" s="4">
        <f t="shared" si="25"/>
        <v>-11</v>
      </c>
      <c r="H82" s="4">
        <f t="shared" si="26"/>
        <v>0.3</v>
      </c>
      <c r="I82" s="4">
        <f t="shared" si="27"/>
        <v>5</v>
      </c>
      <c r="J82" s="4">
        <f t="shared" si="39"/>
        <v>7</v>
      </c>
      <c r="K82" s="4">
        <f t="shared" si="28"/>
        <v>0</v>
      </c>
      <c r="L82" s="4">
        <f t="shared" si="29"/>
        <v>0</v>
      </c>
      <c r="M82" s="4">
        <f t="shared" si="30"/>
        <v>0</v>
      </c>
      <c r="N82" s="4">
        <f t="shared" si="31"/>
        <v>0</v>
      </c>
      <c r="O82" s="4">
        <f t="shared" si="32"/>
        <v>0</v>
      </c>
      <c r="P82" s="4">
        <f t="shared" si="33"/>
        <v>0</v>
      </c>
      <c r="Q82" s="4">
        <f t="shared" si="34"/>
        <v>7</v>
      </c>
      <c r="R82" s="4">
        <f t="shared" si="35"/>
        <v>0</v>
      </c>
      <c r="S82" s="4">
        <f t="shared" si="36"/>
        <v>0</v>
      </c>
      <c r="T82" s="4">
        <f t="shared" si="37"/>
        <v>0</v>
      </c>
    </row>
    <row r="83" spans="1:20">
      <c r="A83" s="4">
        <f>MIN(StopFreqGHz+0.000001,'7227'!A82+FreqStep)</f>
        <v>26.500001000000001</v>
      </c>
      <c r="B83" s="4">
        <f t="shared" si="38"/>
        <v>22.990000260000002</v>
      </c>
      <c r="C83" s="4">
        <f t="shared" si="21"/>
        <v>16.100000000000001</v>
      </c>
      <c r="D83" s="4">
        <f t="shared" si="22"/>
        <v>0.26</v>
      </c>
      <c r="E83" s="4">
        <f t="shared" si="23"/>
        <v>5</v>
      </c>
      <c r="F83" s="4">
        <f t="shared" si="24"/>
        <v>-8</v>
      </c>
      <c r="G83" s="4">
        <f t="shared" si="25"/>
        <v>-11</v>
      </c>
      <c r="H83" s="4">
        <f t="shared" si="26"/>
        <v>0.3</v>
      </c>
      <c r="I83" s="4">
        <f t="shared" si="27"/>
        <v>5</v>
      </c>
      <c r="J83" s="4">
        <f t="shared" si="39"/>
        <v>7</v>
      </c>
      <c r="K83" s="4">
        <f t="shared" si="28"/>
        <v>0</v>
      </c>
      <c r="L83" s="4">
        <f t="shared" si="29"/>
        <v>0</v>
      </c>
      <c r="M83" s="4">
        <f t="shared" si="30"/>
        <v>0</v>
      </c>
      <c r="N83" s="4">
        <f t="shared" si="31"/>
        <v>0</v>
      </c>
      <c r="O83" s="4">
        <f t="shared" si="32"/>
        <v>0</v>
      </c>
      <c r="P83" s="4">
        <f t="shared" si="33"/>
        <v>0</v>
      </c>
      <c r="Q83" s="4">
        <f t="shared" si="34"/>
        <v>7</v>
      </c>
      <c r="R83" s="4">
        <f t="shared" si="35"/>
        <v>0</v>
      </c>
      <c r="S83" s="4">
        <f t="shared" si="36"/>
        <v>0</v>
      </c>
      <c r="T83" s="4">
        <f t="shared" si="37"/>
        <v>0</v>
      </c>
    </row>
    <row r="84" spans="1:20">
      <c r="A84" s="4">
        <f>MIN(StopFreqGHz+0.000001,'7227'!A83+FreqStep)</f>
        <v>26.500001000000001</v>
      </c>
      <c r="B84" s="4">
        <f t="shared" si="38"/>
        <v>22.990000260000002</v>
      </c>
      <c r="C84" s="4">
        <f t="shared" si="21"/>
        <v>16.100000000000001</v>
      </c>
      <c r="D84" s="4">
        <f t="shared" si="22"/>
        <v>0.26</v>
      </c>
      <c r="E84" s="4">
        <f t="shared" si="23"/>
        <v>5</v>
      </c>
      <c r="F84" s="4">
        <f t="shared" si="24"/>
        <v>-8</v>
      </c>
      <c r="G84" s="4">
        <f t="shared" si="25"/>
        <v>-11</v>
      </c>
      <c r="H84" s="4">
        <f t="shared" si="26"/>
        <v>0.3</v>
      </c>
      <c r="I84" s="4">
        <f t="shared" si="27"/>
        <v>5</v>
      </c>
      <c r="J84" s="4">
        <f t="shared" si="39"/>
        <v>7</v>
      </c>
      <c r="K84" s="4">
        <f t="shared" si="28"/>
        <v>0</v>
      </c>
      <c r="L84" s="4">
        <f t="shared" si="29"/>
        <v>0</v>
      </c>
      <c r="M84" s="4">
        <f t="shared" si="30"/>
        <v>0</v>
      </c>
      <c r="N84" s="4">
        <f t="shared" si="31"/>
        <v>0</v>
      </c>
      <c r="O84" s="4">
        <f t="shared" si="32"/>
        <v>0</v>
      </c>
      <c r="P84" s="4">
        <f t="shared" si="33"/>
        <v>0</v>
      </c>
      <c r="Q84" s="4">
        <f t="shared" si="34"/>
        <v>7</v>
      </c>
      <c r="R84" s="4">
        <f t="shared" si="35"/>
        <v>0</v>
      </c>
      <c r="S84" s="4">
        <f t="shared" si="36"/>
        <v>0</v>
      </c>
      <c r="T84" s="4">
        <f t="shared" si="37"/>
        <v>0</v>
      </c>
    </row>
    <row r="85" spans="1:20">
      <c r="A85" s="4">
        <f>MIN(StopFreqGHz+0.000001,'7227'!A84+FreqStep)</f>
        <v>26.500001000000001</v>
      </c>
      <c r="B85" s="4">
        <f t="shared" si="38"/>
        <v>22.990000260000002</v>
      </c>
      <c r="C85" s="4">
        <f t="shared" si="21"/>
        <v>16.100000000000001</v>
      </c>
      <c r="D85" s="4">
        <f t="shared" si="22"/>
        <v>0.26</v>
      </c>
      <c r="E85" s="4">
        <f t="shared" si="23"/>
        <v>5</v>
      </c>
      <c r="F85" s="4">
        <f t="shared" si="24"/>
        <v>-8</v>
      </c>
      <c r="G85" s="4">
        <f t="shared" si="25"/>
        <v>-11</v>
      </c>
      <c r="H85" s="4">
        <f t="shared" si="26"/>
        <v>0.3</v>
      </c>
      <c r="I85" s="4">
        <f t="shared" si="27"/>
        <v>5</v>
      </c>
      <c r="J85" s="4">
        <f t="shared" si="39"/>
        <v>7</v>
      </c>
      <c r="K85" s="4">
        <f t="shared" si="28"/>
        <v>0</v>
      </c>
      <c r="L85" s="4">
        <f t="shared" si="29"/>
        <v>0</v>
      </c>
      <c r="M85" s="4">
        <f t="shared" si="30"/>
        <v>0</v>
      </c>
      <c r="N85" s="4">
        <f t="shared" si="31"/>
        <v>0</v>
      </c>
      <c r="O85" s="4">
        <f t="shared" si="32"/>
        <v>0</v>
      </c>
      <c r="P85" s="4">
        <f t="shared" si="33"/>
        <v>0</v>
      </c>
      <c r="Q85" s="4">
        <f t="shared" si="34"/>
        <v>7</v>
      </c>
      <c r="R85" s="4">
        <f t="shared" si="35"/>
        <v>0</v>
      </c>
      <c r="S85" s="4">
        <f t="shared" si="36"/>
        <v>0</v>
      </c>
      <c r="T85" s="4">
        <f t="shared" si="37"/>
        <v>0</v>
      </c>
    </row>
    <row r="86" spans="1:20">
      <c r="A86" s="4">
        <f>MIN(StopFreqGHz+0.000001,'7227'!A85+FreqStep)</f>
        <v>26.500001000000001</v>
      </c>
      <c r="B86" s="4">
        <f t="shared" si="38"/>
        <v>22.990000260000002</v>
      </c>
      <c r="C86" s="4">
        <f t="shared" si="21"/>
        <v>16.100000000000001</v>
      </c>
      <c r="D86" s="4">
        <f t="shared" si="22"/>
        <v>0.26</v>
      </c>
      <c r="E86" s="4">
        <f t="shared" si="23"/>
        <v>5</v>
      </c>
      <c r="F86" s="4">
        <f t="shared" si="24"/>
        <v>-8</v>
      </c>
      <c r="G86" s="4">
        <f t="shared" si="25"/>
        <v>-11</v>
      </c>
      <c r="H86" s="4">
        <f t="shared" si="26"/>
        <v>0.3</v>
      </c>
      <c r="I86" s="4">
        <f t="shared" si="27"/>
        <v>5</v>
      </c>
      <c r="J86" s="4">
        <f t="shared" si="39"/>
        <v>7</v>
      </c>
      <c r="K86" s="4">
        <f t="shared" si="28"/>
        <v>0</v>
      </c>
      <c r="L86" s="4">
        <f t="shared" si="29"/>
        <v>0</v>
      </c>
      <c r="M86" s="4">
        <f t="shared" si="30"/>
        <v>0</v>
      </c>
      <c r="N86" s="4">
        <f t="shared" si="31"/>
        <v>0</v>
      </c>
      <c r="O86" s="4">
        <f t="shared" si="32"/>
        <v>0</v>
      </c>
      <c r="P86" s="4">
        <f t="shared" si="33"/>
        <v>0</v>
      </c>
      <c r="Q86" s="4">
        <f t="shared" si="34"/>
        <v>7</v>
      </c>
      <c r="R86" s="4">
        <f t="shared" si="35"/>
        <v>0</v>
      </c>
      <c r="S86" s="4">
        <f t="shared" si="36"/>
        <v>0</v>
      </c>
      <c r="T86" s="4">
        <f t="shared" si="37"/>
        <v>0</v>
      </c>
    </row>
    <row r="87" spans="1:20">
      <c r="A87" s="4">
        <f>MIN(StopFreqGHz+0.000001,'7227'!A86+FreqStep)</f>
        <v>26.500001000000001</v>
      </c>
      <c r="B87" s="4">
        <f t="shared" si="38"/>
        <v>22.990000260000002</v>
      </c>
      <c r="C87" s="4">
        <f t="shared" si="21"/>
        <v>16.100000000000001</v>
      </c>
      <c r="D87" s="4">
        <f t="shared" si="22"/>
        <v>0.26</v>
      </c>
      <c r="E87" s="4">
        <f t="shared" si="23"/>
        <v>5</v>
      </c>
      <c r="F87" s="4">
        <f t="shared" si="24"/>
        <v>-8</v>
      </c>
      <c r="G87" s="4">
        <f t="shared" si="25"/>
        <v>-11</v>
      </c>
      <c r="H87" s="4">
        <f t="shared" si="26"/>
        <v>0.3</v>
      </c>
      <c r="I87" s="4">
        <f t="shared" si="27"/>
        <v>5</v>
      </c>
      <c r="J87" s="4">
        <f t="shared" si="39"/>
        <v>7</v>
      </c>
      <c r="K87" s="4">
        <f t="shared" si="28"/>
        <v>0</v>
      </c>
      <c r="L87" s="4">
        <f t="shared" si="29"/>
        <v>0</v>
      </c>
      <c r="M87" s="4">
        <f t="shared" si="30"/>
        <v>0</v>
      </c>
      <c r="N87" s="4">
        <f t="shared" si="31"/>
        <v>0</v>
      </c>
      <c r="O87" s="4">
        <f t="shared" si="32"/>
        <v>0</v>
      </c>
      <c r="P87" s="4">
        <f t="shared" si="33"/>
        <v>0</v>
      </c>
      <c r="Q87" s="4">
        <f t="shared" si="34"/>
        <v>7</v>
      </c>
      <c r="R87" s="4">
        <f t="shared" si="35"/>
        <v>0</v>
      </c>
      <c r="S87" s="4">
        <f t="shared" si="36"/>
        <v>0</v>
      </c>
      <c r="T87" s="4">
        <f t="shared" si="37"/>
        <v>0</v>
      </c>
    </row>
    <row r="88" spans="1:20">
      <c r="A88" s="4">
        <f>MIN(StopFreqGHz+0.000001,'7227'!A87+FreqStep)</f>
        <v>26.500001000000001</v>
      </c>
      <c r="B88" s="4">
        <f t="shared" si="38"/>
        <v>22.990000260000002</v>
      </c>
      <c r="C88" s="4">
        <f t="shared" si="21"/>
        <v>16.100000000000001</v>
      </c>
      <c r="D88" s="4">
        <f t="shared" si="22"/>
        <v>0.26</v>
      </c>
      <c r="E88" s="4">
        <f t="shared" si="23"/>
        <v>5</v>
      </c>
      <c r="F88" s="4">
        <f t="shared" si="24"/>
        <v>-8</v>
      </c>
      <c r="G88" s="4">
        <f t="shared" si="25"/>
        <v>-11</v>
      </c>
      <c r="H88" s="4">
        <f t="shared" si="26"/>
        <v>0.3</v>
      </c>
      <c r="I88" s="4">
        <f t="shared" si="27"/>
        <v>5</v>
      </c>
      <c r="J88" s="4">
        <f t="shared" si="39"/>
        <v>7</v>
      </c>
      <c r="K88" s="4">
        <f t="shared" si="28"/>
        <v>0</v>
      </c>
      <c r="L88" s="4">
        <f t="shared" si="29"/>
        <v>0</v>
      </c>
      <c r="M88" s="4">
        <f t="shared" si="30"/>
        <v>0</v>
      </c>
      <c r="N88" s="4">
        <f t="shared" si="31"/>
        <v>0</v>
      </c>
      <c r="O88" s="4">
        <f t="shared" si="32"/>
        <v>0</v>
      </c>
      <c r="P88" s="4">
        <f t="shared" si="33"/>
        <v>0</v>
      </c>
      <c r="Q88" s="4">
        <f t="shared" si="34"/>
        <v>7</v>
      </c>
      <c r="R88" s="4">
        <f t="shared" si="35"/>
        <v>0</v>
      </c>
      <c r="S88" s="4">
        <f t="shared" si="36"/>
        <v>0</v>
      </c>
      <c r="T88" s="4">
        <f t="shared" si="37"/>
        <v>0</v>
      </c>
    </row>
    <row r="89" spans="1:20">
      <c r="A89" s="4">
        <f>MIN(StopFreqGHz+0.000001,'7227'!A88+FreqStep)</f>
        <v>26.500001000000001</v>
      </c>
      <c r="B89" s="4">
        <f t="shared" si="38"/>
        <v>22.990000260000002</v>
      </c>
      <c r="C89" s="4">
        <f t="shared" si="21"/>
        <v>16.100000000000001</v>
      </c>
      <c r="D89" s="4">
        <f t="shared" si="22"/>
        <v>0.26</v>
      </c>
      <c r="E89" s="4">
        <f t="shared" si="23"/>
        <v>5</v>
      </c>
      <c r="F89" s="4">
        <f t="shared" si="24"/>
        <v>-8</v>
      </c>
      <c r="G89" s="4">
        <f t="shared" si="25"/>
        <v>-11</v>
      </c>
      <c r="H89" s="4">
        <f t="shared" si="26"/>
        <v>0.3</v>
      </c>
      <c r="I89" s="4">
        <f t="shared" si="27"/>
        <v>5</v>
      </c>
      <c r="J89" s="4">
        <f t="shared" si="39"/>
        <v>7</v>
      </c>
      <c r="K89" s="4">
        <f t="shared" si="28"/>
        <v>0</v>
      </c>
      <c r="L89" s="4">
        <f t="shared" si="29"/>
        <v>0</v>
      </c>
      <c r="M89" s="4">
        <f t="shared" si="30"/>
        <v>0</v>
      </c>
      <c r="N89" s="4">
        <f t="shared" si="31"/>
        <v>0</v>
      </c>
      <c r="O89" s="4">
        <f t="shared" si="32"/>
        <v>0</v>
      </c>
      <c r="P89" s="4">
        <f t="shared" si="33"/>
        <v>0</v>
      </c>
      <c r="Q89" s="4">
        <f t="shared" si="34"/>
        <v>7</v>
      </c>
      <c r="R89" s="4">
        <f t="shared" si="35"/>
        <v>0</v>
      </c>
      <c r="S89" s="4">
        <f t="shared" si="36"/>
        <v>0</v>
      </c>
      <c r="T89" s="4">
        <f t="shared" si="37"/>
        <v>0</v>
      </c>
    </row>
    <row r="90" spans="1:20">
      <c r="A90" s="4">
        <f>MIN(StopFreqGHz+0.000001,'7227'!A89+FreqStep)</f>
        <v>26.500001000000001</v>
      </c>
      <c r="B90" s="4">
        <f t="shared" si="38"/>
        <v>22.990000260000002</v>
      </c>
      <c r="C90" s="4">
        <f t="shared" si="21"/>
        <v>16.100000000000001</v>
      </c>
      <c r="D90" s="4">
        <f t="shared" si="22"/>
        <v>0.26</v>
      </c>
      <c r="E90" s="4">
        <f t="shared" si="23"/>
        <v>5</v>
      </c>
      <c r="F90" s="4">
        <f t="shared" si="24"/>
        <v>-8</v>
      </c>
      <c r="G90" s="4">
        <f t="shared" si="25"/>
        <v>-11</v>
      </c>
      <c r="H90" s="4">
        <f t="shared" si="26"/>
        <v>0.3</v>
      </c>
      <c r="I90" s="4">
        <f t="shared" si="27"/>
        <v>5</v>
      </c>
      <c r="J90" s="4">
        <f t="shared" si="39"/>
        <v>7</v>
      </c>
      <c r="K90" s="4">
        <f t="shared" si="28"/>
        <v>0</v>
      </c>
      <c r="L90" s="4">
        <f t="shared" si="29"/>
        <v>0</v>
      </c>
      <c r="M90" s="4">
        <f t="shared" si="30"/>
        <v>0</v>
      </c>
      <c r="N90" s="4">
        <f t="shared" si="31"/>
        <v>0</v>
      </c>
      <c r="O90" s="4">
        <f t="shared" si="32"/>
        <v>0</v>
      </c>
      <c r="P90" s="4">
        <f t="shared" si="33"/>
        <v>0</v>
      </c>
      <c r="Q90" s="4">
        <f t="shared" si="34"/>
        <v>7</v>
      </c>
      <c r="R90" s="4">
        <f t="shared" si="35"/>
        <v>0</v>
      </c>
      <c r="S90" s="4">
        <f t="shared" si="36"/>
        <v>0</v>
      </c>
      <c r="T90" s="4">
        <f t="shared" si="37"/>
        <v>0</v>
      </c>
    </row>
    <row r="91" spans="1:20">
      <c r="A91" s="4">
        <f>MIN(StopFreqGHz+0.000001,'7227'!A90+FreqStep)</f>
        <v>26.500001000000001</v>
      </c>
      <c r="B91" s="4">
        <f t="shared" si="38"/>
        <v>22.990000260000002</v>
      </c>
      <c r="C91" s="4">
        <f t="shared" si="21"/>
        <v>16.100000000000001</v>
      </c>
      <c r="D91" s="4">
        <f t="shared" si="22"/>
        <v>0.26</v>
      </c>
      <c r="E91" s="4">
        <f t="shared" si="23"/>
        <v>5</v>
      </c>
      <c r="F91" s="4">
        <f t="shared" si="24"/>
        <v>-8</v>
      </c>
      <c r="G91" s="4">
        <f t="shared" si="25"/>
        <v>-11</v>
      </c>
      <c r="H91" s="4">
        <f t="shared" si="26"/>
        <v>0.3</v>
      </c>
      <c r="I91" s="4">
        <f t="shared" si="27"/>
        <v>5</v>
      </c>
      <c r="J91" s="4">
        <f t="shared" si="39"/>
        <v>7</v>
      </c>
      <c r="K91" s="4">
        <f t="shared" si="28"/>
        <v>0</v>
      </c>
      <c r="L91" s="4">
        <f t="shared" si="29"/>
        <v>0</v>
      </c>
      <c r="M91" s="4">
        <f t="shared" si="30"/>
        <v>0</v>
      </c>
      <c r="N91" s="4">
        <f t="shared" si="31"/>
        <v>0</v>
      </c>
      <c r="O91" s="4">
        <f t="shared" si="32"/>
        <v>0</v>
      </c>
      <c r="P91" s="4">
        <f t="shared" si="33"/>
        <v>0</v>
      </c>
      <c r="Q91" s="4">
        <f t="shared" si="34"/>
        <v>7</v>
      </c>
      <c r="R91" s="4">
        <f t="shared" si="35"/>
        <v>0</v>
      </c>
      <c r="S91" s="4">
        <f t="shared" si="36"/>
        <v>0</v>
      </c>
      <c r="T91" s="4">
        <f t="shared" si="37"/>
        <v>0</v>
      </c>
    </row>
    <row r="92" spans="1:20">
      <c r="A92" s="4">
        <f>MIN(StopFreqGHz+0.000001,'7227'!A91+FreqStep)</f>
        <v>26.500001000000001</v>
      </c>
      <c r="B92" s="4">
        <f t="shared" si="38"/>
        <v>22.990000260000002</v>
      </c>
      <c r="C92" s="4">
        <f t="shared" si="21"/>
        <v>16.100000000000001</v>
      </c>
      <c r="D92" s="4">
        <f t="shared" si="22"/>
        <v>0.26</v>
      </c>
      <c r="E92" s="4">
        <f t="shared" si="23"/>
        <v>5</v>
      </c>
      <c r="F92" s="4">
        <f t="shared" si="24"/>
        <v>-8</v>
      </c>
      <c r="G92" s="4">
        <f t="shared" si="25"/>
        <v>-11</v>
      </c>
      <c r="H92" s="4">
        <f t="shared" si="26"/>
        <v>0.3</v>
      </c>
      <c r="I92" s="4">
        <f t="shared" si="27"/>
        <v>5</v>
      </c>
      <c r="J92" s="4">
        <f t="shared" si="39"/>
        <v>7</v>
      </c>
      <c r="K92" s="4">
        <f t="shared" si="28"/>
        <v>0</v>
      </c>
      <c r="L92" s="4">
        <f t="shared" si="29"/>
        <v>0</v>
      </c>
      <c r="M92" s="4">
        <f t="shared" si="30"/>
        <v>0</v>
      </c>
      <c r="N92" s="4">
        <f t="shared" si="31"/>
        <v>0</v>
      </c>
      <c r="O92" s="4">
        <f t="shared" si="32"/>
        <v>0</v>
      </c>
      <c r="P92" s="4">
        <f t="shared" si="33"/>
        <v>0</v>
      </c>
      <c r="Q92" s="4">
        <f t="shared" si="34"/>
        <v>7</v>
      </c>
      <c r="R92" s="4">
        <f t="shared" si="35"/>
        <v>0</v>
      </c>
      <c r="S92" s="4">
        <f t="shared" si="36"/>
        <v>0</v>
      </c>
      <c r="T92" s="4">
        <f t="shared" si="37"/>
        <v>0</v>
      </c>
    </row>
    <row r="93" spans="1:20">
      <c r="A93" s="4">
        <f>MIN(StopFreqGHz+0.000001,'7227'!A92+FreqStep)</f>
        <v>26.500001000000001</v>
      </c>
      <c r="B93" s="4">
        <f t="shared" si="38"/>
        <v>22.990000260000002</v>
      </c>
      <c r="C93" s="4">
        <f t="shared" si="21"/>
        <v>16.100000000000001</v>
      </c>
      <c r="D93" s="4">
        <f t="shared" si="22"/>
        <v>0.26</v>
      </c>
      <c r="E93" s="4">
        <f t="shared" si="23"/>
        <v>5</v>
      </c>
      <c r="F93" s="4">
        <f t="shared" si="24"/>
        <v>-8</v>
      </c>
      <c r="G93" s="4">
        <f t="shared" si="25"/>
        <v>-11</v>
      </c>
      <c r="H93" s="4">
        <f t="shared" si="26"/>
        <v>0.3</v>
      </c>
      <c r="I93" s="4">
        <f t="shared" si="27"/>
        <v>5</v>
      </c>
      <c r="J93" s="4">
        <f t="shared" si="39"/>
        <v>7</v>
      </c>
      <c r="K93" s="4">
        <f t="shared" si="28"/>
        <v>0</v>
      </c>
      <c r="L93" s="4">
        <f t="shared" si="29"/>
        <v>0</v>
      </c>
      <c r="M93" s="4">
        <f t="shared" si="30"/>
        <v>0</v>
      </c>
      <c r="N93" s="4">
        <f t="shared" si="31"/>
        <v>0</v>
      </c>
      <c r="O93" s="4">
        <f t="shared" si="32"/>
        <v>0</v>
      </c>
      <c r="P93" s="4">
        <f t="shared" si="33"/>
        <v>0</v>
      </c>
      <c r="Q93" s="4">
        <f t="shared" si="34"/>
        <v>7</v>
      </c>
      <c r="R93" s="4">
        <f t="shared" si="35"/>
        <v>0</v>
      </c>
      <c r="S93" s="4">
        <f t="shared" si="36"/>
        <v>0</v>
      </c>
      <c r="T93" s="4">
        <f t="shared" si="37"/>
        <v>0</v>
      </c>
    </row>
    <row r="94" spans="1:20">
      <c r="A94" s="4">
        <f>MIN(StopFreqGHz+0.000001,'7227'!A93+FreqStep)</f>
        <v>26.500001000000001</v>
      </c>
      <c r="B94" s="4">
        <f t="shared" si="38"/>
        <v>22.990000260000002</v>
      </c>
      <c r="C94" s="4">
        <f t="shared" si="21"/>
        <v>16.100000000000001</v>
      </c>
      <c r="D94" s="4">
        <f t="shared" si="22"/>
        <v>0.26</v>
      </c>
      <c r="E94" s="4">
        <f t="shared" si="23"/>
        <v>5</v>
      </c>
      <c r="F94" s="4">
        <f t="shared" si="24"/>
        <v>-8</v>
      </c>
      <c r="G94" s="4">
        <f t="shared" si="25"/>
        <v>-11</v>
      </c>
      <c r="H94" s="4">
        <f t="shared" si="26"/>
        <v>0.3</v>
      </c>
      <c r="I94" s="4">
        <f t="shared" si="27"/>
        <v>5</v>
      </c>
      <c r="J94" s="4">
        <f t="shared" si="39"/>
        <v>7</v>
      </c>
      <c r="K94" s="4">
        <f t="shared" si="28"/>
        <v>0</v>
      </c>
      <c r="L94" s="4">
        <f t="shared" si="29"/>
        <v>0</v>
      </c>
      <c r="M94" s="4">
        <f t="shared" si="30"/>
        <v>0</v>
      </c>
      <c r="N94" s="4">
        <f t="shared" si="31"/>
        <v>0</v>
      </c>
      <c r="O94" s="4">
        <f t="shared" si="32"/>
        <v>0</v>
      </c>
      <c r="P94" s="4">
        <f t="shared" si="33"/>
        <v>0</v>
      </c>
      <c r="Q94" s="4">
        <f t="shared" si="34"/>
        <v>7</v>
      </c>
      <c r="R94" s="4">
        <f t="shared" si="35"/>
        <v>0</v>
      </c>
      <c r="S94" s="4">
        <f t="shared" si="36"/>
        <v>0</v>
      </c>
      <c r="T94" s="4">
        <f t="shared" si="37"/>
        <v>0</v>
      </c>
    </row>
    <row r="95" spans="1:20">
      <c r="A95" s="4">
        <f>MIN(StopFreqGHz+0.000001,'7227'!A94+FreqStep)</f>
        <v>26.500001000000001</v>
      </c>
      <c r="B95" s="4">
        <f t="shared" si="38"/>
        <v>22.990000260000002</v>
      </c>
      <c r="C95" s="4">
        <f t="shared" si="21"/>
        <v>16.100000000000001</v>
      </c>
      <c r="D95" s="4">
        <f t="shared" si="22"/>
        <v>0.26</v>
      </c>
      <c r="E95" s="4">
        <f t="shared" si="23"/>
        <v>5</v>
      </c>
      <c r="F95" s="4">
        <f t="shared" si="24"/>
        <v>-8</v>
      </c>
      <c r="G95" s="4">
        <f t="shared" si="25"/>
        <v>-11</v>
      </c>
      <c r="H95" s="4">
        <f t="shared" si="26"/>
        <v>0.3</v>
      </c>
      <c r="I95" s="4">
        <f t="shared" si="27"/>
        <v>5</v>
      </c>
      <c r="J95" s="4">
        <f t="shared" si="39"/>
        <v>7</v>
      </c>
      <c r="K95" s="4">
        <f t="shared" si="28"/>
        <v>0</v>
      </c>
      <c r="L95" s="4">
        <f t="shared" si="29"/>
        <v>0</v>
      </c>
      <c r="M95" s="4">
        <f t="shared" si="30"/>
        <v>0</v>
      </c>
      <c r="N95" s="4">
        <f t="shared" si="31"/>
        <v>0</v>
      </c>
      <c r="O95" s="4">
        <f t="shared" si="32"/>
        <v>0</v>
      </c>
      <c r="P95" s="4">
        <f t="shared" si="33"/>
        <v>0</v>
      </c>
      <c r="Q95" s="4">
        <f t="shared" si="34"/>
        <v>7</v>
      </c>
      <c r="R95" s="4">
        <f t="shared" si="35"/>
        <v>0</v>
      </c>
      <c r="S95" s="4">
        <f t="shared" si="36"/>
        <v>0</v>
      </c>
      <c r="T95" s="4">
        <f t="shared" si="37"/>
        <v>0</v>
      </c>
    </row>
    <row r="96" spans="1:20">
      <c r="A96" s="4">
        <f>MIN(StopFreqGHz+0.000001,'7227'!A95+FreqStep)</f>
        <v>26.500001000000001</v>
      </c>
      <c r="B96" s="4">
        <f t="shared" si="38"/>
        <v>22.990000260000002</v>
      </c>
      <c r="C96" s="4">
        <f t="shared" si="21"/>
        <v>16.100000000000001</v>
      </c>
      <c r="D96" s="4">
        <f t="shared" si="22"/>
        <v>0.26</v>
      </c>
      <c r="E96" s="4">
        <f t="shared" si="23"/>
        <v>5</v>
      </c>
      <c r="F96" s="4">
        <f t="shared" si="24"/>
        <v>-8</v>
      </c>
      <c r="G96" s="4">
        <f t="shared" si="25"/>
        <v>-11</v>
      </c>
      <c r="H96" s="4">
        <f t="shared" si="26"/>
        <v>0.3</v>
      </c>
      <c r="I96" s="4">
        <f t="shared" si="27"/>
        <v>5</v>
      </c>
      <c r="J96" s="4">
        <f t="shared" si="39"/>
        <v>7</v>
      </c>
      <c r="K96" s="4">
        <f t="shared" si="28"/>
        <v>0</v>
      </c>
      <c r="L96" s="4">
        <f t="shared" si="29"/>
        <v>0</v>
      </c>
      <c r="M96" s="4">
        <f t="shared" si="30"/>
        <v>0</v>
      </c>
      <c r="N96" s="4">
        <f t="shared" si="31"/>
        <v>0</v>
      </c>
      <c r="O96" s="4">
        <f t="shared" si="32"/>
        <v>0</v>
      </c>
      <c r="P96" s="4">
        <f t="shared" si="33"/>
        <v>0</v>
      </c>
      <c r="Q96" s="4">
        <f t="shared" si="34"/>
        <v>7</v>
      </c>
      <c r="R96" s="4">
        <f t="shared" si="35"/>
        <v>0</v>
      </c>
      <c r="S96" s="4">
        <f t="shared" si="36"/>
        <v>0</v>
      </c>
      <c r="T96" s="4">
        <f t="shared" si="37"/>
        <v>0</v>
      </c>
    </row>
    <row r="97" spans="1:20">
      <c r="A97" s="4">
        <f>MIN(StopFreqGHz+0.000001,'7227'!A96+FreqStep)</f>
        <v>26.500001000000001</v>
      </c>
      <c r="B97" s="4">
        <f t="shared" si="38"/>
        <v>22.990000260000002</v>
      </c>
      <c r="C97" s="4">
        <f t="shared" si="21"/>
        <v>16.100000000000001</v>
      </c>
      <c r="D97" s="4">
        <f t="shared" si="22"/>
        <v>0.26</v>
      </c>
      <c r="E97" s="4">
        <f t="shared" si="23"/>
        <v>5</v>
      </c>
      <c r="F97" s="4">
        <f t="shared" si="24"/>
        <v>-8</v>
      </c>
      <c r="G97" s="4">
        <f t="shared" si="25"/>
        <v>-11</v>
      </c>
      <c r="H97" s="4">
        <f t="shared" si="26"/>
        <v>0.3</v>
      </c>
      <c r="I97" s="4">
        <f t="shared" si="27"/>
        <v>5</v>
      </c>
      <c r="J97" s="4">
        <f t="shared" si="39"/>
        <v>7</v>
      </c>
      <c r="K97" s="4">
        <f t="shared" si="28"/>
        <v>0</v>
      </c>
      <c r="L97" s="4">
        <f t="shared" si="29"/>
        <v>0</v>
      </c>
      <c r="M97" s="4">
        <f t="shared" si="30"/>
        <v>0</v>
      </c>
      <c r="N97" s="4">
        <f t="shared" si="31"/>
        <v>0</v>
      </c>
      <c r="O97" s="4">
        <f t="shared" si="32"/>
        <v>0</v>
      </c>
      <c r="P97" s="4">
        <f t="shared" si="33"/>
        <v>0</v>
      </c>
      <c r="Q97" s="4">
        <f t="shared" si="34"/>
        <v>7</v>
      </c>
      <c r="R97" s="4">
        <f t="shared" si="35"/>
        <v>0</v>
      </c>
      <c r="S97" s="4">
        <f t="shared" si="36"/>
        <v>0</v>
      </c>
      <c r="T97" s="4">
        <f t="shared" si="37"/>
        <v>0</v>
      </c>
    </row>
    <row r="98" spans="1:20">
      <c r="A98" s="4">
        <f>MIN(StopFreqGHz+0.000001,'7227'!A97+FreqStep)</f>
        <v>26.500001000000001</v>
      </c>
      <c r="B98" s="4">
        <f t="shared" si="38"/>
        <v>22.990000260000002</v>
      </c>
      <c r="C98" s="4">
        <f t="shared" si="21"/>
        <v>16.100000000000001</v>
      </c>
      <c r="D98" s="4">
        <f t="shared" si="22"/>
        <v>0.26</v>
      </c>
      <c r="E98" s="4">
        <f t="shared" si="23"/>
        <v>5</v>
      </c>
      <c r="F98" s="4">
        <f t="shared" si="24"/>
        <v>-8</v>
      </c>
      <c r="G98" s="4">
        <f t="shared" si="25"/>
        <v>-11</v>
      </c>
      <c r="H98" s="4">
        <f t="shared" si="26"/>
        <v>0.3</v>
      </c>
      <c r="I98" s="4">
        <f t="shared" si="27"/>
        <v>5</v>
      </c>
      <c r="J98" s="4">
        <f t="shared" si="39"/>
        <v>7</v>
      </c>
      <c r="K98" s="4">
        <f t="shared" si="28"/>
        <v>0</v>
      </c>
      <c r="L98" s="4">
        <f t="shared" si="29"/>
        <v>0</v>
      </c>
      <c r="M98" s="4">
        <f t="shared" si="30"/>
        <v>0</v>
      </c>
      <c r="N98" s="4">
        <f t="shared" si="31"/>
        <v>0</v>
      </c>
      <c r="O98" s="4">
        <f t="shared" si="32"/>
        <v>0</v>
      </c>
      <c r="P98" s="4">
        <f t="shared" si="33"/>
        <v>0</v>
      </c>
      <c r="Q98" s="4">
        <f t="shared" si="34"/>
        <v>7</v>
      </c>
      <c r="R98" s="4">
        <f t="shared" si="35"/>
        <v>0</v>
      </c>
      <c r="S98" s="4">
        <f t="shared" si="36"/>
        <v>0</v>
      </c>
      <c r="T98" s="4">
        <f t="shared" si="37"/>
        <v>0</v>
      </c>
    </row>
    <row r="99" spans="1:20">
      <c r="A99" s="4">
        <f>MIN(StopFreqGHz+0.000001,'7227'!A98+FreqStep)</f>
        <v>26.500001000000001</v>
      </c>
      <c r="B99" s="4">
        <f t="shared" si="38"/>
        <v>22.990000260000002</v>
      </c>
      <c r="C99" s="4">
        <f t="shared" si="21"/>
        <v>16.100000000000001</v>
      </c>
      <c r="D99" s="4">
        <f t="shared" si="22"/>
        <v>0.26</v>
      </c>
      <c r="E99" s="4">
        <f t="shared" si="23"/>
        <v>5</v>
      </c>
      <c r="F99" s="4">
        <f t="shared" si="24"/>
        <v>-8</v>
      </c>
      <c r="G99" s="4">
        <f t="shared" si="25"/>
        <v>-11</v>
      </c>
      <c r="H99" s="4">
        <f t="shared" si="26"/>
        <v>0.3</v>
      </c>
      <c r="I99" s="4">
        <f t="shared" si="27"/>
        <v>5</v>
      </c>
      <c r="J99" s="4">
        <f t="shared" si="39"/>
        <v>7</v>
      </c>
      <c r="K99" s="4">
        <f t="shared" si="28"/>
        <v>0</v>
      </c>
      <c r="L99" s="4">
        <f t="shared" si="29"/>
        <v>0</v>
      </c>
      <c r="M99" s="4">
        <f t="shared" si="30"/>
        <v>0</v>
      </c>
      <c r="N99" s="4">
        <f t="shared" si="31"/>
        <v>0</v>
      </c>
      <c r="O99" s="4">
        <f t="shared" si="32"/>
        <v>0</v>
      </c>
      <c r="P99" s="4">
        <f t="shared" si="33"/>
        <v>0</v>
      </c>
      <c r="Q99" s="4">
        <f t="shared" si="34"/>
        <v>7</v>
      </c>
      <c r="R99" s="4">
        <f t="shared" si="35"/>
        <v>0</v>
      </c>
      <c r="S99" s="4">
        <f t="shared" si="36"/>
        <v>0</v>
      </c>
      <c r="T99" s="4">
        <f t="shared" si="37"/>
        <v>0</v>
      </c>
    </row>
    <row r="100" spans="1:20">
      <c r="A100" s="4">
        <f>MIN(StopFreqGHz+0.000001,'7227'!A99+FreqStep)</f>
        <v>26.500001000000001</v>
      </c>
      <c r="B100" s="4">
        <f t="shared" si="38"/>
        <v>22.990000260000002</v>
      </c>
      <c r="C100" s="4">
        <f t="shared" si="21"/>
        <v>16.100000000000001</v>
      </c>
      <c r="D100" s="4">
        <f t="shared" si="22"/>
        <v>0.26</v>
      </c>
      <c r="E100" s="4">
        <f t="shared" si="23"/>
        <v>5</v>
      </c>
      <c r="F100" s="4">
        <f t="shared" si="24"/>
        <v>-8</v>
      </c>
      <c r="G100" s="4">
        <f t="shared" si="25"/>
        <v>-11</v>
      </c>
      <c r="H100" s="4">
        <f t="shared" si="26"/>
        <v>0.3</v>
      </c>
      <c r="I100" s="4">
        <f t="shared" si="27"/>
        <v>5</v>
      </c>
      <c r="J100" s="4">
        <f t="shared" si="39"/>
        <v>7</v>
      </c>
      <c r="K100" s="4">
        <f t="shared" si="28"/>
        <v>0</v>
      </c>
      <c r="L100" s="4">
        <f t="shared" si="29"/>
        <v>0</v>
      </c>
      <c r="M100" s="4">
        <f t="shared" si="30"/>
        <v>0</v>
      </c>
      <c r="N100" s="4">
        <f t="shared" si="31"/>
        <v>0</v>
      </c>
      <c r="O100" s="4">
        <f t="shared" si="32"/>
        <v>0</v>
      </c>
      <c r="P100" s="4">
        <f t="shared" si="33"/>
        <v>0</v>
      </c>
      <c r="Q100" s="4">
        <f t="shared" si="34"/>
        <v>7</v>
      </c>
      <c r="R100" s="4">
        <f t="shared" si="35"/>
        <v>0</v>
      </c>
      <c r="S100" s="4">
        <f t="shared" si="36"/>
        <v>0</v>
      </c>
      <c r="T100" s="4">
        <f t="shared" si="37"/>
        <v>0</v>
      </c>
    </row>
    <row r="101" spans="1:20">
      <c r="A101" s="4">
        <f>MIN(StopFreqGHz+0.000001,'7227'!A100+FreqStep)</f>
        <v>26.500001000000001</v>
      </c>
      <c r="B101" s="4">
        <f t="shared" si="38"/>
        <v>22.990000260000002</v>
      </c>
      <c r="C101" s="4">
        <f t="shared" si="21"/>
        <v>16.100000000000001</v>
      </c>
      <c r="D101" s="4">
        <f t="shared" si="22"/>
        <v>0.26</v>
      </c>
      <c r="E101" s="4">
        <f t="shared" si="23"/>
        <v>5</v>
      </c>
      <c r="F101" s="4">
        <f t="shared" si="24"/>
        <v>-8</v>
      </c>
      <c r="G101" s="4">
        <f t="shared" si="25"/>
        <v>-11</v>
      </c>
      <c r="H101" s="4">
        <f t="shared" si="26"/>
        <v>0.3</v>
      </c>
      <c r="I101" s="4">
        <f t="shared" si="27"/>
        <v>5</v>
      </c>
      <c r="J101" s="4">
        <f t="shared" si="39"/>
        <v>7</v>
      </c>
      <c r="K101" s="4">
        <f t="shared" si="28"/>
        <v>0</v>
      </c>
      <c r="L101" s="4">
        <f t="shared" si="29"/>
        <v>0</v>
      </c>
      <c r="M101" s="4">
        <f t="shared" si="30"/>
        <v>0</v>
      </c>
      <c r="N101" s="4">
        <f t="shared" si="31"/>
        <v>0</v>
      </c>
      <c r="O101" s="4">
        <f t="shared" si="32"/>
        <v>0</v>
      </c>
      <c r="P101" s="4">
        <f t="shared" si="33"/>
        <v>0</v>
      </c>
      <c r="Q101" s="4">
        <f t="shared" si="34"/>
        <v>7</v>
      </c>
      <c r="R101" s="4">
        <f t="shared" si="35"/>
        <v>0</v>
      </c>
      <c r="S101" s="4">
        <f t="shared" si="36"/>
        <v>0</v>
      </c>
      <c r="T101" s="4">
        <f t="shared" si="37"/>
        <v>0</v>
      </c>
    </row>
    <row r="102" spans="1:20">
      <c r="A102" s="4">
        <f>MIN(StopFreqGHz+0.000001,'7227'!A101+FreqStep)</f>
        <v>26.500001000000001</v>
      </c>
      <c r="B102" s="4">
        <f t="shared" si="38"/>
        <v>22.990000260000002</v>
      </c>
      <c r="C102" s="4">
        <f t="shared" si="21"/>
        <v>16.100000000000001</v>
      </c>
      <c r="D102" s="4">
        <f t="shared" si="22"/>
        <v>0.26</v>
      </c>
      <c r="E102" s="4">
        <f t="shared" si="23"/>
        <v>5</v>
      </c>
      <c r="F102" s="4">
        <f t="shared" si="24"/>
        <v>-8</v>
      </c>
      <c r="G102" s="4">
        <f t="shared" si="25"/>
        <v>-11</v>
      </c>
      <c r="H102" s="4">
        <f t="shared" si="26"/>
        <v>0.3</v>
      </c>
      <c r="I102" s="4">
        <f t="shared" si="27"/>
        <v>5</v>
      </c>
      <c r="J102" s="4">
        <f t="shared" si="39"/>
        <v>7</v>
      </c>
      <c r="K102" s="4">
        <f t="shared" si="28"/>
        <v>0</v>
      </c>
      <c r="L102" s="4">
        <f t="shared" si="29"/>
        <v>0</v>
      </c>
      <c r="M102" s="4">
        <f t="shared" si="30"/>
        <v>0</v>
      </c>
      <c r="N102" s="4">
        <f t="shared" si="31"/>
        <v>0</v>
      </c>
      <c r="O102" s="4">
        <f t="shared" si="32"/>
        <v>0</v>
      </c>
      <c r="P102" s="4">
        <f t="shared" si="33"/>
        <v>0</v>
      </c>
      <c r="Q102" s="4">
        <f t="shared" si="34"/>
        <v>7</v>
      </c>
      <c r="R102" s="4">
        <f t="shared" si="35"/>
        <v>0</v>
      </c>
      <c r="S102" s="4">
        <f t="shared" si="36"/>
        <v>0</v>
      </c>
      <c r="T102" s="4">
        <f t="shared" si="37"/>
        <v>0</v>
      </c>
    </row>
    <row r="103" spans="1:20">
      <c r="A103" s="4">
        <f>MIN(StopFreqGHz+0.000001,'7227'!A102+FreqStep)</f>
        <v>26.500001000000001</v>
      </c>
      <c r="B103" s="4">
        <f t="shared" si="38"/>
        <v>22.990000260000002</v>
      </c>
      <c r="C103" s="4">
        <f t="shared" si="21"/>
        <v>16.100000000000001</v>
      </c>
      <c r="D103" s="4">
        <f t="shared" si="22"/>
        <v>0.26</v>
      </c>
      <c r="E103" s="4">
        <f t="shared" si="23"/>
        <v>5</v>
      </c>
      <c r="F103" s="4">
        <f t="shared" si="24"/>
        <v>-8</v>
      </c>
      <c r="G103" s="4">
        <f t="shared" si="25"/>
        <v>-11</v>
      </c>
      <c r="H103" s="4">
        <f t="shared" si="26"/>
        <v>0.3</v>
      </c>
      <c r="I103" s="4">
        <f t="shared" si="27"/>
        <v>5</v>
      </c>
      <c r="J103" s="4">
        <f t="shared" si="39"/>
        <v>7</v>
      </c>
      <c r="K103" s="4">
        <f t="shared" si="28"/>
        <v>0</v>
      </c>
      <c r="L103" s="4">
        <f t="shared" si="29"/>
        <v>0</v>
      </c>
      <c r="M103" s="4">
        <f t="shared" si="30"/>
        <v>0</v>
      </c>
      <c r="N103" s="4">
        <f t="shared" si="31"/>
        <v>0</v>
      </c>
      <c r="O103" s="4">
        <f t="shared" si="32"/>
        <v>0</v>
      </c>
      <c r="P103" s="4">
        <f t="shared" si="33"/>
        <v>0</v>
      </c>
      <c r="Q103" s="4">
        <f t="shared" si="34"/>
        <v>7</v>
      </c>
      <c r="R103" s="4">
        <f t="shared" si="35"/>
        <v>0</v>
      </c>
      <c r="S103" s="4">
        <f t="shared" si="36"/>
        <v>0</v>
      </c>
      <c r="T103" s="4">
        <f t="shared" si="37"/>
        <v>0</v>
      </c>
    </row>
    <row r="104" spans="1:20">
      <c r="A104" s="4">
        <f>MIN(StopFreqGHz+0.000001,'7227'!A103+FreqStep)</f>
        <v>26.500001000000001</v>
      </c>
      <c r="B104" s="4">
        <f t="shared" si="38"/>
        <v>22.990000260000002</v>
      </c>
      <c r="C104" s="4">
        <f t="shared" si="21"/>
        <v>16.100000000000001</v>
      </c>
      <c r="D104" s="4">
        <f t="shared" si="22"/>
        <v>0.26</v>
      </c>
      <c r="E104" s="4">
        <f t="shared" si="23"/>
        <v>5</v>
      </c>
      <c r="F104" s="4">
        <f t="shared" si="24"/>
        <v>-8</v>
      </c>
      <c r="G104" s="4">
        <f t="shared" si="25"/>
        <v>-11</v>
      </c>
      <c r="H104" s="4">
        <f t="shared" si="26"/>
        <v>0.3</v>
      </c>
      <c r="I104" s="4">
        <f t="shared" si="27"/>
        <v>5</v>
      </c>
      <c r="J104" s="4">
        <f t="shared" si="39"/>
        <v>7</v>
      </c>
      <c r="K104" s="4">
        <f t="shared" si="28"/>
        <v>0</v>
      </c>
      <c r="L104" s="4">
        <f t="shared" si="29"/>
        <v>0</v>
      </c>
      <c r="M104" s="4">
        <f t="shared" si="30"/>
        <v>0</v>
      </c>
      <c r="N104" s="4">
        <f t="shared" si="31"/>
        <v>0</v>
      </c>
      <c r="O104" s="4">
        <f t="shared" si="32"/>
        <v>0</v>
      </c>
      <c r="P104" s="4">
        <f t="shared" si="33"/>
        <v>0</v>
      </c>
      <c r="Q104" s="4">
        <f t="shared" si="34"/>
        <v>7</v>
      </c>
      <c r="R104" s="4">
        <f t="shared" si="35"/>
        <v>0</v>
      </c>
      <c r="S104" s="4">
        <f t="shared" si="36"/>
        <v>0</v>
      </c>
      <c r="T104" s="4">
        <f t="shared" si="37"/>
        <v>0</v>
      </c>
    </row>
    <row r="105" spans="1:20">
      <c r="A105" s="4">
        <f>MIN(StopFreqGHz+0.000001,'7227'!A104+FreqStep)</f>
        <v>26.500001000000001</v>
      </c>
      <c r="B105" s="4">
        <f t="shared" si="38"/>
        <v>22.990000260000002</v>
      </c>
      <c r="C105" s="4">
        <f t="shared" si="21"/>
        <v>16.100000000000001</v>
      </c>
      <c r="D105" s="4">
        <f t="shared" si="22"/>
        <v>0.26</v>
      </c>
      <c r="E105" s="4">
        <f t="shared" si="23"/>
        <v>5</v>
      </c>
      <c r="F105" s="4">
        <f t="shared" si="24"/>
        <v>-8</v>
      </c>
      <c r="G105" s="4">
        <f t="shared" si="25"/>
        <v>-11</v>
      </c>
      <c r="H105" s="4">
        <f t="shared" si="26"/>
        <v>0.3</v>
      </c>
      <c r="I105" s="4">
        <f t="shared" si="27"/>
        <v>5</v>
      </c>
      <c r="J105" s="4">
        <f t="shared" si="39"/>
        <v>7</v>
      </c>
      <c r="K105" s="4">
        <f t="shared" si="28"/>
        <v>0</v>
      </c>
      <c r="L105" s="4">
        <f t="shared" si="29"/>
        <v>0</v>
      </c>
      <c r="M105" s="4">
        <f t="shared" si="30"/>
        <v>0</v>
      </c>
      <c r="N105" s="4">
        <f t="shared" si="31"/>
        <v>0</v>
      </c>
      <c r="O105" s="4">
        <f t="shared" si="32"/>
        <v>0</v>
      </c>
      <c r="P105" s="4">
        <f t="shared" si="33"/>
        <v>0</v>
      </c>
      <c r="Q105" s="4">
        <f t="shared" si="34"/>
        <v>7</v>
      </c>
      <c r="R105" s="4">
        <f t="shared" si="35"/>
        <v>0</v>
      </c>
      <c r="S105" s="4">
        <f t="shared" si="36"/>
        <v>0</v>
      </c>
      <c r="T105" s="4">
        <f t="shared" si="37"/>
        <v>0</v>
      </c>
    </row>
    <row r="106" spans="1:20">
      <c r="A106" s="4">
        <f>MIN(StopFreqGHz+0.000001,'7227'!A105+FreqStep)</f>
        <v>26.500001000000001</v>
      </c>
      <c r="B106" s="4">
        <f t="shared" si="38"/>
        <v>22.990000260000002</v>
      </c>
      <c r="C106" s="4">
        <f t="shared" si="21"/>
        <v>16.100000000000001</v>
      </c>
      <c r="D106" s="4">
        <f t="shared" si="22"/>
        <v>0.26</v>
      </c>
      <c r="E106" s="4">
        <f t="shared" si="23"/>
        <v>5</v>
      </c>
      <c r="F106" s="4">
        <f t="shared" si="24"/>
        <v>-8</v>
      </c>
      <c r="G106" s="4">
        <f t="shared" si="25"/>
        <v>-11</v>
      </c>
      <c r="H106" s="4">
        <f t="shared" si="26"/>
        <v>0.3</v>
      </c>
      <c r="I106" s="4">
        <f t="shared" si="27"/>
        <v>5</v>
      </c>
      <c r="J106" s="4">
        <f t="shared" si="39"/>
        <v>7</v>
      </c>
      <c r="K106" s="4">
        <f t="shared" si="28"/>
        <v>0</v>
      </c>
      <c r="L106" s="4">
        <f t="shared" si="29"/>
        <v>0</v>
      </c>
      <c r="M106" s="4">
        <f t="shared" si="30"/>
        <v>0</v>
      </c>
      <c r="N106" s="4">
        <f t="shared" si="31"/>
        <v>0</v>
      </c>
      <c r="O106" s="4">
        <f t="shared" si="32"/>
        <v>0</v>
      </c>
      <c r="P106" s="4">
        <f t="shared" si="33"/>
        <v>0</v>
      </c>
      <c r="Q106" s="4">
        <f t="shared" si="34"/>
        <v>7</v>
      </c>
      <c r="R106" s="4">
        <f t="shared" si="35"/>
        <v>0</v>
      </c>
      <c r="S106" s="4">
        <f t="shared" si="36"/>
        <v>0</v>
      </c>
      <c r="T106" s="4">
        <f t="shared" si="37"/>
        <v>0</v>
      </c>
    </row>
  </sheetData>
  <sheetProtection algorithmName="SHA-512" hashValue="fRZROlatPvXpJjfBFjzz/PyyEvhy5dbsSGRyTCgqmZFDvNOkceNX6o6c3QiQu7+S3rpzXsi50csZJFZw5wRTrw==" saltValue="OL5fm2QsbU/OGRmJF8coHw==" spinCount="100000" sheet="1" objects="1" scenarios="1" selectLockedCells="1" selectUnlockedCells="1"/>
  <conditionalFormatting sqref="A6:G106 J6:T106">
    <cfRule type="expression" dxfId="14" priority="3">
      <formula>"$A6&gt;DashBoard!$B$2"</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07"/>
  <sheetViews>
    <sheetView workbookViewId="0">
      <selection activeCell="A36" sqref="A36"/>
    </sheetView>
  </sheetViews>
  <sheetFormatPr defaultColWidth="8.81640625" defaultRowHeight="14.5"/>
  <cols>
    <col min="1" max="1" width="13.453125" style="2" customWidth="1"/>
    <col min="2" max="2" width="6.81640625" style="2" customWidth="1"/>
    <col min="3" max="3" width="8.1796875" style="2" customWidth="1"/>
    <col min="4" max="4" width="11.81640625" style="2" customWidth="1"/>
    <col min="5" max="6" width="17" style="2" customWidth="1"/>
    <col min="7" max="7" width="10.453125" style="2" hidden="1" customWidth="1"/>
    <col min="8" max="8" width="12.81640625" style="78" hidden="1" customWidth="1"/>
    <col min="9" max="9" width="10.26953125" style="2" hidden="1" customWidth="1"/>
    <col min="10" max="12" width="8.81640625" style="2" hidden="1" customWidth="1"/>
    <col min="13" max="13" width="11.7265625" style="2" hidden="1" customWidth="1"/>
    <col min="14" max="17" width="8.81640625" style="2" hidden="1" customWidth="1"/>
    <col min="18" max="20" width="14.26953125" style="2" hidden="1" customWidth="1"/>
    <col min="21" max="21" width="13.54296875" style="2" hidden="1" customWidth="1"/>
    <col min="22" max="22" width="8.81640625" style="2" hidden="1" customWidth="1"/>
    <col min="23" max="23" width="11.7265625" style="2" hidden="1" customWidth="1"/>
    <col min="24" max="29" width="8.81640625" style="2" hidden="1" customWidth="1"/>
    <col min="30" max="30" width="0" style="2" hidden="1" customWidth="1"/>
    <col min="31" max="32" width="14.26953125" style="2" hidden="1" customWidth="1"/>
    <col min="33" max="33" width="13.1796875" style="2" hidden="1" customWidth="1"/>
    <col min="34" max="34" width="10.26953125" style="2" hidden="1" customWidth="1"/>
    <col min="35" max="35" width="6.81640625" style="2" customWidth="1"/>
    <col min="36" max="36" width="8.81640625" style="2" customWidth="1"/>
    <col min="37" max="16384" width="8.81640625" style="2"/>
  </cols>
  <sheetData>
    <row r="1" spans="1:37">
      <c r="A1" s="156" t="s">
        <v>307</v>
      </c>
      <c r="B1" s="45"/>
      <c r="C1" s="157" t="s">
        <v>236</v>
      </c>
      <c r="D1" s="50"/>
      <c r="E1" s="50"/>
      <c r="F1" s="50"/>
      <c r="G1" s="6"/>
      <c r="H1" s="20"/>
    </row>
    <row r="2" spans="1:37" s="4" customFormat="1">
      <c r="A2" s="158"/>
      <c r="B2" s="54"/>
      <c r="C2" s="54"/>
      <c r="D2" s="54"/>
      <c r="E2" s="54"/>
      <c r="F2" s="54"/>
      <c r="G2" s="20"/>
      <c r="H2" s="2" t="s">
        <v>309</v>
      </c>
      <c r="I2" s="2"/>
      <c r="K2" s="2"/>
      <c r="L2" s="2"/>
      <c r="M2" s="2"/>
      <c r="N2" s="2" t="s">
        <v>211</v>
      </c>
      <c r="O2" s="2" t="s">
        <v>210</v>
      </c>
      <c r="P2" s="2"/>
      <c r="Q2" s="2"/>
      <c r="R2" s="4" t="s">
        <v>211</v>
      </c>
      <c r="S2" s="4" t="s">
        <v>210</v>
      </c>
      <c r="AG2" s="2" t="s">
        <v>203</v>
      </c>
    </row>
    <row r="3" spans="1:37">
      <c r="A3" s="158"/>
      <c r="B3" s="54"/>
      <c r="C3" s="159"/>
      <c r="D3" s="159"/>
      <c r="E3" s="54" t="s">
        <v>211</v>
      </c>
      <c r="F3" s="54" t="s">
        <v>210</v>
      </c>
      <c r="G3" s="20"/>
      <c r="H3" s="20" t="s">
        <v>310</v>
      </c>
      <c r="I3" s="2" t="s">
        <v>196</v>
      </c>
      <c r="J3" s="2" t="s">
        <v>319</v>
      </c>
      <c r="K3" s="2" t="s">
        <v>197</v>
      </c>
      <c r="L3" s="2" t="s">
        <v>119</v>
      </c>
      <c r="M3" s="2" t="s">
        <v>214</v>
      </c>
      <c r="N3" s="2" t="s">
        <v>314</v>
      </c>
      <c r="O3" s="2" t="s">
        <v>315</v>
      </c>
      <c r="P3" s="20" t="s">
        <v>80</v>
      </c>
      <c r="R3" s="2">
        <f>ABS(IF(DutType=1,S3,ConverterInputStart))</f>
        <v>0.1</v>
      </c>
      <c r="S3" s="2">
        <f>StartFreqGHz</f>
        <v>0.1</v>
      </c>
      <c r="T3" s="2" t="s">
        <v>211</v>
      </c>
      <c r="U3" s="2" t="s">
        <v>210</v>
      </c>
      <c r="X3" s="2" t="s">
        <v>211</v>
      </c>
      <c r="Y3" s="2" t="s">
        <v>210</v>
      </c>
      <c r="AB3" s="2" t="s">
        <v>211</v>
      </c>
      <c r="AC3" s="2" t="s">
        <v>210</v>
      </c>
      <c r="AD3" s="2" t="s">
        <v>4</v>
      </c>
      <c r="AG3" s="2">
        <f>DUTgamConf</f>
        <v>0.40853898265363492</v>
      </c>
    </row>
    <row r="4" spans="1:37">
      <c r="A4" s="158" t="s">
        <v>317</v>
      </c>
      <c r="B4" s="54"/>
      <c r="C4" s="159" t="s">
        <v>116</v>
      </c>
      <c r="D4" s="159" t="s">
        <v>311</v>
      </c>
      <c r="E4" s="54" t="s">
        <v>183</v>
      </c>
      <c r="F4" s="54" t="s">
        <v>183</v>
      </c>
      <c r="G4" s="20" t="s">
        <v>351</v>
      </c>
      <c r="H4" s="2"/>
      <c r="I4" s="2" t="s">
        <v>0</v>
      </c>
      <c r="J4" s="2">
        <f>MIN(J6:J101)</f>
        <v>0</v>
      </c>
      <c r="K4" s="2">
        <v>4</v>
      </c>
      <c r="L4" s="2">
        <f t="shared" ref="L4:O4" si="0">SUM(L6:L59)/$K5</f>
        <v>17.100000000000001</v>
      </c>
      <c r="M4" s="2">
        <f t="shared" si="0"/>
        <v>5</v>
      </c>
      <c r="N4" s="2">
        <f t="shared" si="0"/>
        <v>0.4</v>
      </c>
      <c r="O4" s="2">
        <f t="shared" si="0"/>
        <v>0.28000000000000003</v>
      </c>
      <c r="P4" s="2">
        <f>SUM(P6:P59)/$K5</f>
        <v>0.35</v>
      </c>
      <c r="R4" s="2">
        <f>(IF(DutType=1,S4,InputFreqStep))</f>
        <v>0.52800000000000002</v>
      </c>
      <c r="S4" s="2">
        <f>FreqStep</f>
        <v>0.52800000000000002</v>
      </c>
      <c r="T4" s="2" t="s">
        <v>5</v>
      </c>
      <c r="U4" s="2" t="s">
        <v>202</v>
      </c>
      <c r="V4" s="2" t="s">
        <v>116</v>
      </c>
      <c r="W4" s="2" t="s">
        <v>214</v>
      </c>
      <c r="X4" s="2" t="s">
        <v>314</v>
      </c>
      <c r="Y4" s="2" t="s">
        <v>315</v>
      </c>
      <c r="Z4" s="20" t="s">
        <v>80</v>
      </c>
      <c r="AB4" s="2" t="s">
        <v>181</v>
      </c>
      <c r="AC4" s="2" t="s">
        <v>181</v>
      </c>
      <c r="AF4" s="2" t="s">
        <v>211</v>
      </c>
      <c r="AG4" s="2" t="s">
        <v>210</v>
      </c>
      <c r="AK4" s="2" t="s">
        <v>0</v>
      </c>
    </row>
    <row r="5" spans="1:37">
      <c r="A5" s="160" t="s">
        <v>181</v>
      </c>
      <c r="B5" s="54" t="s">
        <v>313</v>
      </c>
      <c r="C5" s="159" t="s">
        <v>215</v>
      </c>
      <c r="D5" s="159" t="s">
        <v>215</v>
      </c>
      <c r="E5" s="54" t="s">
        <v>308</v>
      </c>
      <c r="F5" s="54" t="s">
        <v>308</v>
      </c>
      <c r="G5" s="20" t="s">
        <v>342</v>
      </c>
      <c r="H5" s="2"/>
      <c r="I5" s="2" t="s">
        <v>312</v>
      </c>
      <c r="J5" s="2" t="s">
        <v>318</v>
      </c>
      <c r="K5" s="2">
        <f>SUM(K6:K101)</f>
        <v>1</v>
      </c>
      <c r="R5" s="2">
        <f>ABS(IF(DutType=1,S5,ConverterInputStop))</f>
        <v>26.5</v>
      </c>
      <c r="S5" s="2">
        <f>StopFreqGHz</f>
        <v>26.5</v>
      </c>
      <c r="U5" s="2" t="s">
        <v>0</v>
      </c>
      <c r="V5" s="25">
        <f>L4</f>
        <v>17.100000000000001</v>
      </c>
      <c r="W5" s="25">
        <f>M4</f>
        <v>5</v>
      </c>
      <c r="X5" s="25">
        <f>N4</f>
        <v>0.4</v>
      </c>
      <c r="Y5" s="25">
        <f>O4</f>
        <v>0.28000000000000003</v>
      </c>
      <c r="Z5" s="25">
        <f>P4</f>
        <v>0.35</v>
      </c>
      <c r="AA5" s="25"/>
      <c r="AB5" s="2" t="s">
        <v>316</v>
      </c>
      <c r="AC5" s="2" t="s">
        <v>316</v>
      </c>
      <c r="AD5" s="2" t="s">
        <v>116</v>
      </c>
      <c r="AE5" s="2" t="s">
        <v>214</v>
      </c>
      <c r="AF5" s="2" t="s">
        <v>314</v>
      </c>
      <c r="AG5" s="2" t="s">
        <v>315</v>
      </c>
      <c r="AH5" s="2" t="s">
        <v>81</v>
      </c>
      <c r="AI5" s="2" t="s">
        <v>0</v>
      </c>
    </row>
    <row r="6" spans="1:37">
      <c r="A6" s="11">
        <v>10</v>
      </c>
      <c r="B6" s="11" t="s">
        <v>305</v>
      </c>
      <c r="C6" s="11">
        <v>15</v>
      </c>
      <c r="D6" s="11">
        <v>2</v>
      </c>
      <c r="E6" s="12">
        <v>0</v>
      </c>
      <c r="F6" s="11">
        <v>0.125</v>
      </c>
      <c r="G6" s="11">
        <v>0</v>
      </c>
      <c r="H6" s="2">
        <f>IF(UPPER(TRIM(B6))="MHZ",0.001,IF((UPPER(TRIM(B6)))="GHZ",1,IF(UPPER(TRIM(B6))="KHZ",0.000001,1)))</f>
        <v>1E-3</v>
      </c>
      <c r="I6" s="2">
        <f t="shared" ref="I6:I37" si="1">IF(A6&gt;0,A6*H6,1000)</f>
        <v>0.01</v>
      </c>
      <c r="J6" s="2">
        <f>ABS(K$4-I6)</f>
        <v>3.99</v>
      </c>
      <c r="K6" s="2">
        <f>IF(J6=J$4,1,0)</f>
        <v>0</v>
      </c>
      <c r="L6" s="2">
        <f t="shared" ref="L6:L37" si="2">$K6*C6</f>
        <v>0</v>
      </c>
      <c r="M6" s="2">
        <f t="shared" ref="M6:M37" si="3">$K6*D6</f>
        <v>0</v>
      </c>
      <c r="N6" s="2">
        <f t="shared" ref="N6:N37" si="4">$K6*E6</f>
        <v>0</v>
      </c>
      <c r="O6" s="2">
        <f t="shared" ref="O6:O37" si="5">$K6*F6</f>
        <v>0</v>
      </c>
      <c r="P6" s="2">
        <f t="shared" ref="P6:P69" si="6">$K6*G6</f>
        <v>0</v>
      </c>
      <c r="S6" s="2">
        <v>1</v>
      </c>
      <c r="T6" s="2">
        <f>R3</f>
        <v>0.1</v>
      </c>
      <c r="U6" s="2">
        <f>S3</f>
        <v>0.1</v>
      </c>
      <c r="V6" s="2">
        <f t="dataTable" ref="V6:Z107" dt2D="0" dtr="0" r1="K4"/>
        <v>16.100000000000001</v>
      </c>
      <c r="W6" s="2">
        <v>6</v>
      </c>
      <c r="X6" s="2">
        <v>0.18</v>
      </c>
      <c r="Y6" s="2">
        <v>0.125</v>
      </c>
      <c r="Z6" s="2">
        <v>0.35</v>
      </c>
      <c r="AB6" s="2">
        <f>T6</f>
        <v>0.1</v>
      </c>
      <c r="AC6" s="2">
        <f>U6</f>
        <v>0.1</v>
      </c>
      <c r="AD6" s="2">
        <f t="shared" ref="AD6:AD37" si="7">(IF(DUT_DataType=1,SF_DUTGain,V6))</f>
        <v>20</v>
      </c>
      <c r="AE6" s="2">
        <f t="shared" ref="AE6:AE37" si="8">IF(DUT_DataType=1,SF_DUTNF,W6)</f>
        <v>4</v>
      </c>
      <c r="AF6" s="2">
        <f t="shared" ref="AF6:AF37" si="9">IF(DUT_DataType=1,SF_DUTGamIn,X6)</f>
        <v>0.2</v>
      </c>
      <c r="AG6" s="2">
        <f t="shared" ref="AG6:AG37" si="10">IF(DUT_DataType=1,SF_DUTGamOut,Y6)</f>
        <v>0.31622776601683794</v>
      </c>
      <c r="AH6" s="2">
        <f t="shared" ref="AH6:AH37" si="11">UseReverse*IF(DUT_DataType=1,SF_DUT_RevRatio,Z6)</f>
        <v>0</v>
      </c>
      <c r="AJ6" s="2" t="s">
        <v>0</v>
      </c>
    </row>
    <row r="7" spans="1:37">
      <c r="A7" s="12">
        <v>100</v>
      </c>
      <c r="B7" s="11" t="s">
        <v>305</v>
      </c>
      <c r="C7" s="11">
        <v>16.100000000000001</v>
      </c>
      <c r="D7" s="11">
        <v>6</v>
      </c>
      <c r="E7" s="12">
        <v>0.18</v>
      </c>
      <c r="F7" s="11">
        <v>0.125</v>
      </c>
      <c r="G7" s="11">
        <v>0.35</v>
      </c>
      <c r="H7" s="2">
        <f t="shared" ref="H7:H38" si="12">IF(UPPER(TRIM(B7))="MHZ",0.001,IF((UPPER(TRIM(B7)))="GHZ",1,IF(UPPER(TRIM(B7))="KHZ",0.000001,0.000000001)))</f>
        <v>1E-3</v>
      </c>
      <c r="I7" s="2">
        <f t="shared" si="1"/>
        <v>0.1</v>
      </c>
      <c r="J7" s="2">
        <f t="shared" ref="J7:J70" si="13">ABS(K$4-I7)</f>
        <v>3.9</v>
      </c>
      <c r="K7" s="2">
        <f t="shared" ref="K7:K70" si="14">IF(J7=J$4,1,0)</f>
        <v>0</v>
      </c>
      <c r="L7" s="2">
        <f t="shared" si="2"/>
        <v>0</v>
      </c>
      <c r="M7" s="2">
        <f t="shared" si="3"/>
        <v>0</v>
      </c>
      <c r="N7" s="2">
        <f t="shared" si="4"/>
        <v>0</v>
      </c>
      <c r="O7" s="2">
        <f t="shared" si="5"/>
        <v>0</v>
      </c>
      <c r="P7" s="2">
        <f t="shared" si="6"/>
        <v>0</v>
      </c>
      <c r="S7" s="2">
        <f>1+S6</f>
        <v>2</v>
      </c>
      <c r="T7" s="2">
        <f t="shared" ref="T7:T24" si="15">IF($R$4&gt;=0,IF(T6&gt;=$R$5,$R$5+0.0001,T6+$R$4),IF(T6&lt;=$R$5,$R$5-0.0001,T6+$R$4))</f>
        <v>0.628</v>
      </c>
      <c r="U7" s="2">
        <f t="shared" ref="U7:U70" si="16">IF($S$4&gt;=0,IF(U6&gt;=$S$5,$S$5+0.0001,U6+$S$4),IF(U6&lt;=$S$5,$S$5-0.0001,U6+$S$4))</f>
        <v>0.628</v>
      </c>
      <c r="V7" s="2">
        <v>16.100000000000001</v>
      </c>
      <c r="W7" s="2">
        <v>6</v>
      </c>
      <c r="X7" s="2">
        <v>0.18</v>
      </c>
      <c r="Y7" s="2">
        <v>0.125</v>
      </c>
      <c r="Z7" s="2">
        <v>0.35</v>
      </c>
      <c r="AB7" s="2">
        <f t="shared" ref="AB7:AB70" si="17">T7</f>
        <v>0.628</v>
      </c>
      <c r="AC7" s="2">
        <f t="shared" ref="AC7:AC70" si="18">U7</f>
        <v>0.628</v>
      </c>
      <c r="AD7" s="2">
        <f t="shared" si="7"/>
        <v>20</v>
      </c>
      <c r="AE7" s="2">
        <f t="shared" si="8"/>
        <v>4</v>
      </c>
      <c r="AF7" s="2">
        <f t="shared" si="9"/>
        <v>0.2</v>
      </c>
      <c r="AG7" s="2">
        <f t="shared" si="10"/>
        <v>0.31622776601683794</v>
      </c>
      <c r="AH7" s="2">
        <f t="shared" si="11"/>
        <v>0</v>
      </c>
    </row>
    <row r="8" spans="1:37">
      <c r="A8" s="12">
        <v>2000</v>
      </c>
      <c r="B8" s="11" t="s">
        <v>305</v>
      </c>
      <c r="C8" s="11">
        <v>16.5</v>
      </c>
      <c r="D8" s="11">
        <v>6</v>
      </c>
      <c r="E8" s="12">
        <v>0.18</v>
      </c>
      <c r="F8" s="11">
        <v>0.125</v>
      </c>
      <c r="G8" s="11">
        <v>0.35</v>
      </c>
      <c r="H8" s="2">
        <f t="shared" si="12"/>
        <v>1E-3</v>
      </c>
      <c r="I8" s="2">
        <f t="shared" si="1"/>
        <v>2</v>
      </c>
      <c r="J8" s="2">
        <f t="shared" si="13"/>
        <v>2</v>
      </c>
      <c r="K8" s="2">
        <f t="shared" si="14"/>
        <v>0</v>
      </c>
      <c r="L8" s="2">
        <f t="shared" si="2"/>
        <v>0</v>
      </c>
      <c r="M8" s="2">
        <f t="shared" si="3"/>
        <v>0</v>
      </c>
      <c r="N8" s="2">
        <f t="shared" si="4"/>
        <v>0</v>
      </c>
      <c r="O8" s="2">
        <f t="shared" si="5"/>
        <v>0</v>
      </c>
      <c r="P8" s="2">
        <f t="shared" si="6"/>
        <v>0</v>
      </c>
      <c r="S8" s="2">
        <f t="shared" ref="S8:S71" si="19">1+S7</f>
        <v>3</v>
      </c>
      <c r="T8" s="2">
        <f t="shared" si="15"/>
        <v>1.1560000000000001</v>
      </c>
      <c r="U8" s="2">
        <f t="shared" si="16"/>
        <v>1.1560000000000001</v>
      </c>
      <c r="V8" s="2">
        <v>16.5</v>
      </c>
      <c r="W8" s="2">
        <v>6</v>
      </c>
      <c r="X8" s="2">
        <v>0.18</v>
      </c>
      <c r="Y8" s="2">
        <v>0.125</v>
      </c>
      <c r="Z8" s="2">
        <v>0.35</v>
      </c>
      <c r="AB8" s="2">
        <f t="shared" si="17"/>
        <v>1.1560000000000001</v>
      </c>
      <c r="AC8" s="2">
        <f t="shared" si="18"/>
        <v>1.1560000000000001</v>
      </c>
      <c r="AD8" s="2">
        <f t="shared" si="7"/>
        <v>20</v>
      </c>
      <c r="AE8" s="2">
        <f t="shared" si="8"/>
        <v>4</v>
      </c>
      <c r="AF8" s="2">
        <f t="shared" si="9"/>
        <v>0.2</v>
      </c>
      <c r="AG8" s="2">
        <f t="shared" si="10"/>
        <v>0.31622776601683794</v>
      </c>
      <c r="AH8" s="2">
        <f t="shared" si="11"/>
        <v>0</v>
      </c>
    </row>
    <row r="9" spans="1:37">
      <c r="A9" s="12">
        <v>3000</v>
      </c>
      <c r="B9" s="11" t="s">
        <v>305</v>
      </c>
      <c r="C9" s="11">
        <v>16.8</v>
      </c>
      <c r="D9" s="11">
        <v>6</v>
      </c>
      <c r="E9" s="12">
        <v>0.18</v>
      </c>
      <c r="F9" s="11">
        <v>0.125</v>
      </c>
      <c r="G9" s="11">
        <v>0.35</v>
      </c>
      <c r="H9" s="2">
        <f t="shared" si="12"/>
        <v>1E-3</v>
      </c>
      <c r="I9" s="2">
        <f t="shared" si="1"/>
        <v>3</v>
      </c>
      <c r="J9" s="2">
        <f t="shared" si="13"/>
        <v>1</v>
      </c>
      <c r="K9" s="2">
        <f t="shared" si="14"/>
        <v>0</v>
      </c>
      <c r="L9" s="2">
        <f t="shared" si="2"/>
        <v>0</v>
      </c>
      <c r="M9" s="2">
        <f t="shared" si="3"/>
        <v>0</v>
      </c>
      <c r="N9" s="2">
        <f t="shared" si="4"/>
        <v>0</v>
      </c>
      <c r="O9" s="2">
        <f t="shared" si="5"/>
        <v>0</v>
      </c>
      <c r="P9" s="2">
        <f t="shared" si="6"/>
        <v>0</v>
      </c>
      <c r="S9" s="2">
        <f t="shared" si="19"/>
        <v>4</v>
      </c>
      <c r="T9" s="2">
        <f t="shared" si="15"/>
        <v>1.6840000000000002</v>
      </c>
      <c r="U9" s="2">
        <f t="shared" si="16"/>
        <v>1.6840000000000002</v>
      </c>
      <c r="V9" s="2">
        <v>16.5</v>
      </c>
      <c r="W9" s="2">
        <v>6</v>
      </c>
      <c r="X9" s="2">
        <v>0.18</v>
      </c>
      <c r="Y9" s="2">
        <v>0.125</v>
      </c>
      <c r="Z9" s="2">
        <v>0.35</v>
      </c>
      <c r="AB9" s="2">
        <f t="shared" si="17"/>
        <v>1.6840000000000002</v>
      </c>
      <c r="AC9" s="2">
        <f t="shared" si="18"/>
        <v>1.6840000000000002</v>
      </c>
      <c r="AD9" s="2">
        <f t="shared" si="7"/>
        <v>20</v>
      </c>
      <c r="AE9" s="2">
        <f t="shared" si="8"/>
        <v>4</v>
      </c>
      <c r="AF9" s="2">
        <f t="shared" si="9"/>
        <v>0.2</v>
      </c>
      <c r="AG9" s="2">
        <f t="shared" si="10"/>
        <v>0.31622776601683794</v>
      </c>
      <c r="AH9" s="2">
        <f t="shared" si="11"/>
        <v>0</v>
      </c>
    </row>
    <row r="10" spans="1:37">
      <c r="A10" s="12">
        <v>4000</v>
      </c>
      <c r="B10" s="11" t="s">
        <v>305</v>
      </c>
      <c r="C10" s="11">
        <v>17.100000000000001</v>
      </c>
      <c r="D10" s="11">
        <v>5</v>
      </c>
      <c r="E10" s="12">
        <v>0.4</v>
      </c>
      <c r="F10" s="11">
        <v>0.28000000000000003</v>
      </c>
      <c r="G10" s="11">
        <v>0.35</v>
      </c>
      <c r="H10" s="2">
        <f t="shared" si="12"/>
        <v>1E-3</v>
      </c>
      <c r="I10" s="2">
        <f t="shared" si="1"/>
        <v>4</v>
      </c>
      <c r="J10" s="2">
        <f t="shared" si="13"/>
        <v>0</v>
      </c>
      <c r="K10" s="2">
        <f t="shared" si="14"/>
        <v>1</v>
      </c>
      <c r="L10" s="2">
        <f t="shared" si="2"/>
        <v>17.100000000000001</v>
      </c>
      <c r="M10" s="2">
        <f t="shared" si="3"/>
        <v>5</v>
      </c>
      <c r="N10" s="2">
        <f t="shared" si="4"/>
        <v>0.4</v>
      </c>
      <c r="O10" s="2">
        <f t="shared" si="5"/>
        <v>0.28000000000000003</v>
      </c>
      <c r="P10" s="2">
        <f t="shared" si="6"/>
        <v>0.35</v>
      </c>
      <c r="S10" s="2">
        <f t="shared" si="19"/>
        <v>5</v>
      </c>
      <c r="T10" s="2">
        <f t="shared" si="15"/>
        <v>2.2120000000000002</v>
      </c>
      <c r="U10" s="2">
        <f t="shared" si="16"/>
        <v>2.2120000000000002</v>
      </c>
      <c r="V10" s="2">
        <v>16.5</v>
      </c>
      <c r="W10" s="2">
        <v>6</v>
      </c>
      <c r="X10" s="2">
        <v>0.18</v>
      </c>
      <c r="Y10" s="2">
        <v>0.125</v>
      </c>
      <c r="Z10" s="2">
        <v>0.35</v>
      </c>
      <c r="AB10" s="2">
        <f t="shared" si="17"/>
        <v>2.2120000000000002</v>
      </c>
      <c r="AC10" s="2">
        <f t="shared" si="18"/>
        <v>2.2120000000000002</v>
      </c>
      <c r="AD10" s="2">
        <f t="shared" si="7"/>
        <v>20</v>
      </c>
      <c r="AE10" s="2">
        <f t="shared" si="8"/>
        <v>4</v>
      </c>
      <c r="AF10" s="2">
        <f t="shared" si="9"/>
        <v>0.2</v>
      </c>
      <c r="AG10" s="2">
        <f t="shared" si="10"/>
        <v>0.31622776601683794</v>
      </c>
      <c r="AH10" s="2">
        <f t="shared" si="11"/>
        <v>0</v>
      </c>
    </row>
    <row r="11" spans="1:37">
      <c r="A11" s="12">
        <v>6000</v>
      </c>
      <c r="B11" s="11" t="s">
        <v>305</v>
      </c>
      <c r="C11" s="11">
        <v>17.600000000000001</v>
      </c>
      <c r="D11" s="11">
        <v>5</v>
      </c>
      <c r="E11" s="12">
        <v>0.4</v>
      </c>
      <c r="F11" s="11">
        <v>0.28000000000000003</v>
      </c>
      <c r="G11" s="89">
        <v>0.3</v>
      </c>
      <c r="H11" s="2">
        <f t="shared" si="12"/>
        <v>1E-3</v>
      </c>
      <c r="I11" s="2">
        <f t="shared" si="1"/>
        <v>6</v>
      </c>
      <c r="J11" s="2">
        <f t="shared" si="13"/>
        <v>2</v>
      </c>
      <c r="K11" s="2">
        <f t="shared" si="14"/>
        <v>0</v>
      </c>
      <c r="L11" s="2">
        <f t="shared" si="2"/>
        <v>0</v>
      </c>
      <c r="M11" s="2">
        <f t="shared" si="3"/>
        <v>0</v>
      </c>
      <c r="N11" s="2">
        <f t="shared" si="4"/>
        <v>0</v>
      </c>
      <c r="O11" s="2">
        <f t="shared" si="5"/>
        <v>0</v>
      </c>
      <c r="P11" s="2">
        <f t="shared" si="6"/>
        <v>0</v>
      </c>
      <c r="S11" s="2">
        <f t="shared" si="19"/>
        <v>6</v>
      </c>
      <c r="T11" s="2">
        <f t="shared" si="15"/>
        <v>2.74</v>
      </c>
      <c r="U11" s="2">
        <f t="shared" si="16"/>
        <v>2.74</v>
      </c>
      <c r="V11" s="2">
        <v>16.8</v>
      </c>
      <c r="W11" s="2">
        <v>6</v>
      </c>
      <c r="X11" s="2">
        <v>0.18</v>
      </c>
      <c r="Y11" s="2">
        <v>0.125</v>
      </c>
      <c r="Z11" s="2">
        <v>0.35</v>
      </c>
      <c r="AB11" s="2">
        <f t="shared" si="17"/>
        <v>2.74</v>
      </c>
      <c r="AC11" s="2">
        <f t="shared" si="18"/>
        <v>2.74</v>
      </c>
      <c r="AD11" s="2">
        <f t="shared" si="7"/>
        <v>20</v>
      </c>
      <c r="AE11" s="2">
        <f t="shared" si="8"/>
        <v>4</v>
      </c>
      <c r="AF11" s="2">
        <f t="shared" si="9"/>
        <v>0.2</v>
      </c>
      <c r="AG11" s="2">
        <f t="shared" si="10"/>
        <v>0.31622776601683794</v>
      </c>
      <c r="AH11" s="2">
        <f t="shared" si="11"/>
        <v>0</v>
      </c>
    </row>
    <row r="12" spans="1:37">
      <c r="A12" s="12">
        <v>18000</v>
      </c>
      <c r="B12" s="11" t="s">
        <v>305</v>
      </c>
      <c r="C12" s="11">
        <v>20.8</v>
      </c>
      <c r="D12" s="11">
        <v>4</v>
      </c>
      <c r="E12" s="12">
        <v>0.4</v>
      </c>
      <c r="F12" s="11">
        <v>0.28000000000000003</v>
      </c>
      <c r="G12" s="89">
        <v>0.3</v>
      </c>
      <c r="H12" s="2">
        <f t="shared" si="12"/>
        <v>1E-3</v>
      </c>
      <c r="I12" s="2">
        <f t="shared" si="1"/>
        <v>18</v>
      </c>
      <c r="J12" s="2">
        <f t="shared" si="13"/>
        <v>14</v>
      </c>
      <c r="K12" s="2">
        <f t="shared" si="14"/>
        <v>0</v>
      </c>
      <c r="L12" s="2">
        <f t="shared" si="2"/>
        <v>0</v>
      </c>
      <c r="M12" s="2">
        <f t="shared" si="3"/>
        <v>0</v>
      </c>
      <c r="N12" s="2">
        <f t="shared" si="4"/>
        <v>0</v>
      </c>
      <c r="O12" s="2">
        <f t="shared" si="5"/>
        <v>0</v>
      </c>
      <c r="P12" s="2">
        <f t="shared" si="6"/>
        <v>0</v>
      </c>
      <c r="S12" s="2">
        <f t="shared" si="19"/>
        <v>7</v>
      </c>
      <c r="T12" s="2">
        <f t="shared" si="15"/>
        <v>3.2680000000000002</v>
      </c>
      <c r="U12" s="2">
        <f t="shared" si="16"/>
        <v>3.2680000000000002</v>
      </c>
      <c r="V12" s="2">
        <v>16.8</v>
      </c>
      <c r="W12" s="2">
        <v>6</v>
      </c>
      <c r="X12" s="2">
        <v>0.18</v>
      </c>
      <c r="Y12" s="2">
        <v>0.125</v>
      </c>
      <c r="Z12" s="2">
        <v>0.35</v>
      </c>
      <c r="AB12" s="2">
        <f t="shared" si="17"/>
        <v>3.2680000000000002</v>
      </c>
      <c r="AC12" s="2">
        <f t="shared" si="18"/>
        <v>3.2680000000000002</v>
      </c>
      <c r="AD12" s="2">
        <f t="shared" si="7"/>
        <v>20</v>
      </c>
      <c r="AE12" s="2">
        <f t="shared" si="8"/>
        <v>4</v>
      </c>
      <c r="AF12" s="2">
        <f t="shared" si="9"/>
        <v>0.2</v>
      </c>
      <c r="AG12" s="2">
        <f t="shared" si="10"/>
        <v>0.31622776601683794</v>
      </c>
      <c r="AH12" s="2">
        <f t="shared" si="11"/>
        <v>0</v>
      </c>
    </row>
    <row r="13" spans="1:37">
      <c r="A13" s="12">
        <v>26510</v>
      </c>
      <c r="B13" s="11" t="s">
        <v>305</v>
      </c>
      <c r="C13" s="11">
        <v>23</v>
      </c>
      <c r="D13" s="11">
        <v>5</v>
      </c>
      <c r="E13" s="12">
        <v>0.4</v>
      </c>
      <c r="F13" s="11">
        <v>0.28000000000000003</v>
      </c>
      <c r="G13" s="89">
        <v>0.3</v>
      </c>
      <c r="H13" s="2">
        <f t="shared" si="12"/>
        <v>1E-3</v>
      </c>
      <c r="I13" s="2">
        <f t="shared" si="1"/>
        <v>26.51</v>
      </c>
      <c r="J13" s="2">
        <f t="shared" si="13"/>
        <v>22.51</v>
      </c>
      <c r="K13" s="2">
        <f t="shared" si="14"/>
        <v>0</v>
      </c>
      <c r="L13" s="2">
        <f t="shared" si="2"/>
        <v>0</v>
      </c>
      <c r="M13" s="2">
        <f t="shared" si="3"/>
        <v>0</v>
      </c>
      <c r="N13" s="2">
        <f t="shared" si="4"/>
        <v>0</v>
      </c>
      <c r="O13" s="2">
        <f t="shared" si="5"/>
        <v>0</v>
      </c>
      <c r="P13" s="2">
        <f t="shared" si="6"/>
        <v>0</v>
      </c>
      <c r="S13" s="2">
        <f t="shared" si="19"/>
        <v>8</v>
      </c>
      <c r="T13" s="2">
        <f t="shared" si="15"/>
        <v>3.7960000000000003</v>
      </c>
      <c r="U13" s="2">
        <f t="shared" si="16"/>
        <v>3.7960000000000003</v>
      </c>
      <c r="V13" s="2">
        <v>17.100000000000001</v>
      </c>
      <c r="W13" s="2">
        <v>5</v>
      </c>
      <c r="X13" s="2">
        <v>0.4</v>
      </c>
      <c r="Y13" s="2">
        <v>0.28000000000000003</v>
      </c>
      <c r="Z13" s="2">
        <v>0.35</v>
      </c>
      <c r="AB13" s="2">
        <f t="shared" si="17"/>
        <v>3.7960000000000003</v>
      </c>
      <c r="AC13" s="2">
        <f t="shared" si="18"/>
        <v>3.7960000000000003</v>
      </c>
      <c r="AD13" s="2">
        <f t="shared" si="7"/>
        <v>20</v>
      </c>
      <c r="AE13" s="2">
        <f t="shared" si="8"/>
        <v>4</v>
      </c>
      <c r="AF13" s="2">
        <f t="shared" si="9"/>
        <v>0.2</v>
      </c>
      <c r="AG13" s="2">
        <f t="shared" si="10"/>
        <v>0.31622776601683794</v>
      </c>
      <c r="AH13" s="2">
        <f t="shared" si="11"/>
        <v>0</v>
      </c>
    </row>
    <row r="14" spans="1:37">
      <c r="A14" s="12">
        <v>40000</v>
      </c>
      <c r="B14" s="11" t="s">
        <v>305</v>
      </c>
      <c r="C14" s="11">
        <v>0</v>
      </c>
      <c r="D14" s="11">
        <v>6.07</v>
      </c>
      <c r="E14" s="12">
        <v>0.08</v>
      </c>
      <c r="F14" s="11">
        <v>0.2</v>
      </c>
      <c r="G14" s="89">
        <v>0.06</v>
      </c>
      <c r="H14" s="2">
        <f t="shared" si="12"/>
        <v>1E-3</v>
      </c>
      <c r="I14" s="2">
        <f t="shared" si="1"/>
        <v>40</v>
      </c>
      <c r="J14" s="2">
        <f t="shared" si="13"/>
        <v>36</v>
      </c>
      <c r="K14" s="2">
        <f t="shared" si="14"/>
        <v>0</v>
      </c>
      <c r="L14" s="2">
        <f t="shared" si="2"/>
        <v>0</v>
      </c>
      <c r="M14" s="2">
        <f t="shared" si="3"/>
        <v>0</v>
      </c>
      <c r="N14" s="2">
        <f t="shared" si="4"/>
        <v>0</v>
      </c>
      <c r="O14" s="2">
        <f t="shared" si="5"/>
        <v>0</v>
      </c>
      <c r="P14" s="2">
        <f t="shared" si="6"/>
        <v>0</v>
      </c>
      <c r="S14" s="2">
        <f t="shared" si="19"/>
        <v>9</v>
      </c>
      <c r="T14" s="2">
        <f t="shared" si="15"/>
        <v>4.3239999999999998</v>
      </c>
      <c r="U14" s="2">
        <f t="shared" si="16"/>
        <v>4.3239999999999998</v>
      </c>
      <c r="V14" s="2">
        <v>17.100000000000001</v>
      </c>
      <c r="W14" s="2">
        <v>5</v>
      </c>
      <c r="X14" s="2">
        <v>0.4</v>
      </c>
      <c r="Y14" s="2">
        <v>0.28000000000000003</v>
      </c>
      <c r="Z14" s="2">
        <v>0.35</v>
      </c>
      <c r="AB14" s="2">
        <f t="shared" si="17"/>
        <v>4.3239999999999998</v>
      </c>
      <c r="AC14" s="2">
        <f t="shared" si="18"/>
        <v>4.3239999999999998</v>
      </c>
      <c r="AD14" s="2">
        <f t="shared" si="7"/>
        <v>20</v>
      </c>
      <c r="AE14" s="2">
        <f t="shared" si="8"/>
        <v>4</v>
      </c>
      <c r="AF14" s="2">
        <f t="shared" si="9"/>
        <v>0.2</v>
      </c>
      <c r="AG14" s="2">
        <f t="shared" si="10"/>
        <v>0.31622776601683794</v>
      </c>
      <c r="AH14" s="2">
        <f t="shared" si="11"/>
        <v>0</v>
      </c>
    </row>
    <row r="15" spans="1:37">
      <c r="A15" s="12">
        <v>44000</v>
      </c>
      <c r="B15" s="11" t="s">
        <v>305</v>
      </c>
      <c r="C15" s="11">
        <v>0</v>
      </c>
      <c r="D15" s="11">
        <v>6.78</v>
      </c>
      <c r="E15" s="12">
        <v>0.18</v>
      </c>
      <c r="F15" s="11">
        <v>0.35</v>
      </c>
      <c r="G15" s="89">
        <v>7.0000000000000007E-2</v>
      </c>
      <c r="H15" s="2">
        <f t="shared" si="12"/>
        <v>1E-3</v>
      </c>
      <c r="I15" s="2">
        <f t="shared" si="1"/>
        <v>44</v>
      </c>
      <c r="J15" s="2">
        <f t="shared" si="13"/>
        <v>40</v>
      </c>
      <c r="K15" s="2">
        <f t="shared" si="14"/>
        <v>0</v>
      </c>
      <c r="L15" s="2">
        <f t="shared" si="2"/>
        <v>0</v>
      </c>
      <c r="M15" s="2">
        <f t="shared" si="3"/>
        <v>0</v>
      </c>
      <c r="N15" s="2">
        <f t="shared" si="4"/>
        <v>0</v>
      </c>
      <c r="O15" s="2">
        <f t="shared" si="5"/>
        <v>0</v>
      </c>
      <c r="P15" s="2">
        <f t="shared" si="6"/>
        <v>0</v>
      </c>
      <c r="S15" s="2">
        <f t="shared" si="19"/>
        <v>10</v>
      </c>
      <c r="T15" s="2">
        <f t="shared" si="15"/>
        <v>4.8520000000000003</v>
      </c>
      <c r="U15" s="2">
        <f t="shared" si="16"/>
        <v>4.8520000000000003</v>
      </c>
      <c r="V15" s="2">
        <v>17.100000000000001</v>
      </c>
      <c r="W15" s="2">
        <v>5</v>
      </c>
      <c r="X15" s="2">
        <v>0.4</v>
      </c>
      <c r="Y15" s="2">
        <v>0.28000000000000003</v>
      </c>
      <c r="Z15" s="2">
        <v>0.35</v>
      </c>
      <c r="AB15" s="2">
        <f t="shared" si="17"/>
        <v>4.8520000000000003</v>
      </c>
      <c r="AC15" s="2">
        <f t="shared" si="18"/>
        <v>4.8520000000000003</v>
      </c>
      <c r="AD15" s="2">
        <f t="shared" si="7"/>
        <v>20</v>
      </c>
      <c r="AE15" s="2">
        <f t="shared" si="8"/>
        <v>4</v>
      </c>
      <c r="AF15" s="2">
        <f t="shared" si="9"/>
        <v>0.2</v>
      </c>
      <c r="AG15" s="2">
        <f t="shared" si="10"/>
        <v>0.31622776601683794</v>
      </c>
      <c r="AH15" s="2">
        <f t="shared" si="11"/>
        <v>0</v>
      </c>
    </row>
    <row r="16" spans="1:37">
      <c r="A16" s="11">
        <v>50000</v>
      </c>
      <c r="B16" s="11" t="s">
        <v>305</v>
      </c>
      <c r="C16" s="11">
        <v>0</v>
      </c>
      <c r="D16" s="11">
        <v>7.87</v>
      </c>
      <c r="E16" s="11">
        <v>0.28999999999999998</v>
      </c>
      <c r="F16" s="11">
        <v>0.15</v>
      </c>
      <c r="G16" s="11">
        <v>7.0000000000000007E-2</v>
      </c>
      <c r="H16" s="2">
        <f t="shared" si="12"/>
        <v>1E-3</v>
      </c>
      <c r="I16" s="2">
        <f t="shared" si="1"/>
        <v>50</v>
      </c>
      <c r="J16" s="2">
        <f t="shared" si="13"/>
        <v>46</v>
      </c>
      <c r="K16" s="2">
        <f t="shared" si="14"/>
        <v>0</v>
      </c>
      <c r="L16" s="2">
        <f t="shared" si="2"/>
        <v>0</v>
      </c>
      <c r="M16" s="2">
        <f t="shared" si="3"/>
        <v>0</v>
      </c>
      <c r="N16" s="2">
        <f t="shared" si="4"/>
        <v>0</v>
      </c>
      <c r="O16" s="2">
        <f t="shared" si="5"/>
        <v>0</v>
      </c>
      <c r="P16" s="2">
        <f t="shared" si="6"/>
        <v>0</v>
      </c>
      <c r="S16" s="2">
        <f t="shared" si="19"/>
        <v>11</v>
      </c>
      <c r="T16" s="2">
        <f t="shared" si="15"/>
        <v>5.3800000000000008</v>
      </c>
      <c r="U16" s="2">
        <f t="shared" si="16"/>
        <v>5.3800000000000008</v>
      </c>
      <c r="V16" s="2">
        <v>17.600000000000001</v>
      </c>
      <c r="W16" s="2">
        <v>5</v>
      </c>
      <c r="X16" s="2">
        <v>0.4</v>
      </c>
      <c r="Y16" s="2">
        <v>0.28000000000000003</v>
      </c>
      <c r="Z16" s="2">
        <v>0.3</v>
      </c>
      <c r="AB16" s="2">
        <f t="shared" si="17"/>
        <v>5.3800000000000008</v>
      </c>
      <c r="AC16" s="2">
        <f t="shared" si="18"/>
        <v>5.3800000000000008</v>
      </c>
      <c r="AD16" s="2">
        <f t="shared" si="7"/>
        <v>20</v>
      </c>
      <c r="AE16" s="2">
        <f t="shared" si="8"/>
        <v>4</v>
      </c>
      <c r="AF16" s="2">
        <f t="shared" si="9"/>
        <v>0.2</v>
      </c>
      <c r="AG16" s="2">
        <f t="shared" si="10"/>
        <v>0.31622776601683794</v>
      </c>
      <c r="AH16" s="2">
        <f t="shared" si="11"/>
        <v>0</v>
      </c>
    </row>
    <row r="17" spans="1:34">
      <c r="A17" s="11">
        <v>0</v>
      </c>
      <c r="B17" s="11" t="s">
        <v>0</v>
      </c>
      <c r="C17" s="11">
        <v>0</v>
      </c>
      <c r="D17" s="11">
        <v>0</v>
      </c>
      <c r="E17" s="11">
        <v>0</v>
      </c>
      <c r="F17" s="11">
        <v>0</v>
      </c>
      <c r="G17" s="75">
        <v>0</v>
      </c>
      <c r="H17" s="2">
        <f t="shared" si="12"/>
        <v>1.0000000000000001E-9</v>
      </c>
      <c r="I17" s="2">
        <f t="shared" si="1"/>
        <v>1000</v>
      </c>
      <c r="J17" s="2">
        <f t="shared" si="13"/>
        <v>996</v>
      </c>
      <c r="K17" s="2">
        <f t="shared" si="14"/>
        <v>0</v>
      </c>
      <c r="L17" s="2">
        <f t="shared" si="2"/>
        <v>0</v>
      </c>
      <c r="M17" s="2">
        <f t="shared" si="3"/>
        <v>0</v>
      </c>
      <c r="N17" s="2">
        <f t="shared" si="4"/>
        <v>0</v>
      </c>
      <c r="O17" s="2">
        <f t="shared" si="5"/>
        <v>0</v>
      </c>
      <c r="P17" s="2">
        <f t="shared" si="6"/>
        <v>0</v>
      </c>
      <c r="S17" s="2">
        <f t="shared" si="19"/>
        <v>12</v>
      </c>
      <c r="T17" s="2">
        <f t="shared" si="15"/>
        <v>5.9080000000000013</v>
      </c>
      <c r="U17" s="2">
        <f t="shared" si="16"/>
        <v>5.9080000000000013</v>
      </c>
      <c r="V17" s="2">
        <v>17.600000000000001</v>
      </c>
      <c r="W17" s="2">
        <v>5</v>
      </c>
      <c r="X17" s="2">
        <v>0.4</v>
      </c>
      <c r="Y17" s="2">
        <v>0.28000000000000003</v>
      </c>
      <c r="Z17" s="2">
        <v>0.3</v>
      </c>
      <c r="AB17" s="2">
        <f t="shared" si="17"/>
        <v>5.9080000000000013</v>
      </c>
      <c r="AC17" s="2">
        <f t="shared" si="18"/>
        <v>5.9080000000000013</v>
      </c>
      <c r="AD17" s="2">
        <f t="shared" si="7"/>
        <v>20</v>
      </c>
      <c r="AE17" s="2">
        <f t="shared" si="8"/>
        <v>4</v>
      </c>
      <c r="AF17" s="2">
        <f t="shared" si="9"/>
        <v>0.2</v>
      </c>
      <c r="AG17" s="2">
        <f t="shared" si="10"/>
        <v>0.31622776601683794</v>
      </c>
      <c r="AH17" s="2">
        <f t="shared" si="11"/>
        <v>0</v>
      </c>
    </row>
    <row r="18" spans="1:34">
      <c r="A18" s="11">
        <v>0</v>
      </c>
      <c r="B18" s="11" t="s">
        <v>0</v>
      </c>
      <c r="C18" s="11">
        <v>0</v>
      </c>
      <c r="D18" s="11">
        <v>0</v>
      </c>
      <c r="E18" s="11">
        <v>0</v>
      </c>
      <c r="F18" s="11">
        <v>0</v>
      </c>
      <c r="G18" s="75">
        <v>0</v>
      </c>
      <c r="H18" s="2">
        <f t="shared" si="12"/>
        <v>1.0000000000000001E-9</v>
      </c>
      <c r="I18" s="2">
        <f t="shared" si="1"/>
        <v>1000</v>
      </c>
      <c r="J18" s="2">
        <f t="shared" si="13"/>
        <v>996</v>
      </c>
      <c r="K18" s="2">
        <f t="shared" si="14"/>
        <v>0</v>
      </c>
      <c r="L18" s="2">
        <f t="shared" si="2"/>
        <v>0</v>
      </c>
      <c r="M18" s="2">
        <f t="shared" si="3"/>
        <v>0</v>
      </c>
      <c r="N18" s="2">
        <f t="shared" si="4"/>
        <v>0</v>
      </c>
      <c r="O18" s="2">
        <f t="shared" si="5"/>
        <v>0</v>
      </c>
      <c r="P18" s="2">
        <f t="shared" si="6"/>
        <v>0</v>
      </c>
      <c r="S18" s="2">
        <f t="shared" si="19"/>
        <v>13</v>
      </c>
      <c r="T18" s="2">
        <f t="shared" si="15"/>
        <v>6.4360000000000017</v>
      </c>
      <c r="U18" s="2">
        <f t="shared" si="16"/>
        <v>6.4360000000000017</v>
      </c>
      <c r="V18" s="2">
        <v>17.600000000000001</v>
      </c>
      <c r="W18" s="2">
        <v>5</v>
      </c>
      <c r="X18" s="2">
        <v>0.4</v>
      </c>
      <c r="Y18" s="2">
        <v>0.28000000000000003</v>
      </c>
      <c r="Z18" s="2">
        <v>0.3</v>
      </c>
      <c r="AB18" s="2">
        <f t="shared" si="17"/>
        <v>6.4360000000000017</v>
      </c>
      <c r="AC18" s="2">
        <f t="shared" si="18"/>
        <v>6.4360000000000017</v>
      </c>
      <c r="AD18" s="2">
        <f t="shared" si="7"/>
        <v>20</v>
      </c>
      <c r="AE18" s="2">
        <f t="shared" si="8"/>
        <v>4</v>
      </c>
      <c r="AF18" s="2">
        <f t="shared" si="9"/>
        <v>0.2</v>
      </c>
      <c r="AG18" s="2">
        <f t="shared" si="10"/>
        <v>0.31622776601683794</v>
      </c>
      <c r="AH18" s="2">
        <f t="shared" si="11"/>
        <v>0</v>
      </c>
    </row>
    <row r="19" spans="1:34">
      <c r="A19" s="11">
        <v>0</v>
      </c>
      <c r="B19" s="11" t="s">
        <v>0</v>
      </c>
      <c r="C19" s="11">
        <v>0</v>
      </c>
      <c r="D19" s="11">
        <v>0</v>
      </c>
      <c r="E19" s="11">
        <v>0</v>
      </c>
      <c r="F19" s="11">
        <v>0</v>
      </c>
      <c r="G19" s="75">
        <v>0</v>
      </c>
      <c r="H19" s="2">
        <f t="shared" si="12"/>
        <v>1.0000000000000001E-9</v>
      </c>
      <c r="I19" s="2">
        <f t="shared" si="1"/>
        <v>1000</v>
      </c>
      <c r="J19" s="2">
        <f t="shared" si="13"/>
        <v>996</v>
      </c>
      <c r="K19" s="2">
        <f t="shared" si="14"/>
        <v>0</v>
      </c>
      <c r="L19" s="2">
        <f t="shared" si="2"/>
        <v>0</v>
      </c>
      <c r="M19" s="2">
        <f t="shared" si="3"/>
        <v>0</v>
      </c>
      <c r="N19" s="2">
        <f t="shared" si="4"/>
        <v>0</v>
      </c>
      <c r="O19" s="2">
        <f t="shared" si="5"/>
        <v>0</v>
      </c>
      <c r="P19" s="2">
        <f t="shared" si="6"/>
        <v>0</v>
      </c>
      <c r="S19" s="2">
        <f t="shared" si="19"/>
        <v>14</v>
      </c>
      <c r="T19" s="2">
        <f t="shared" si="15"/>
        <v>6.9640000000000022</v>
      </c>
      <c r="U19" s="2">
        <f t="shared" si="16"/>
        <v>6.9640000000000022</v>
      </c>
      <c r="V19" s="2">
        <v>17.600000000000001</v>
      </c>
      <c r="W19" s="2">
        <v>5</v>
      </c>
      <c r="X19" s="2">
        <v>0.4</v>
      </c>
      <c r="Y19" s="2">
        <v>0.28000000000000003</v>
      </c>
      <c r="Z19" s="2">
        <v>0.3</v>
      </c>
      <c r="AB19" s="2">
        <f t="shared" si="17"/>
        <v>6.9640000000000022</v>
      </c>
      <c r="AC19" s="2">
        <f t="shared" si="18"/>
        <v>6.9640000000000022</v>
      </c>
      <c r="AD19" s="2">
        <f t="shared" si="7"/>
        <v>20</v>
      </c>
      <c r="AE19" s="2">
        <f t="shared" si="8"/>
        <v>4</v>
      </c>
      <c r="AF19" s="2">
        <f t="shared" si="9"/>
        <v>0.2</v>
      </c>
      <c r="AG19" s="2">
        <f t="shared" si="10"/>
        <v>0.31622776601683794</v>
      </c>
      <c r="AH19" s="2">
        <f t="shared" si="11"/>
        <v>0</v>
      </c>
    </row>
    <row r="20" spans="1:34">
      <c r="A20" s="11">
        <v>0</v>
      </c>
      <c r="B20" s="11" t="s">
        <v>0</v>
      </c>
      <c r="C20" s="11">
        <v>0</v>
      </c>
      <c r="D20" s="11">
        <v>0</v>
      </c>
      <c r="E20" s="11">
        <v>0</v>
      </c>
      <c r="F20" s="11">
        <v>0</v>
      </c>
      <c r="G20" s="75">
        <v>0</v>
      </c>
      <c r="H20" s="2">
        <f t="shared" si="12"/>
        <v>1.0000000000000001E-9</v>
      </c>
      <c r="I20" s="2">
        <f t="shared" si="1"/>
        <v>1000</v>
      </c>
      <c r="J20" s="2">
        <f t="shared" si="13"/>
        <v>996</v>
      </c>
      <c r="K20" s="2">
        <f t="shared" si="14"/>
        <v>0</v>
      </c>
      <c r="L20" s="2">
        <f t="shared" si="2"/>
        <v>0</v>
      </c>
      <c r="M20" s="2">
        <f t="shared" si="3"/>
        <v>0</v>
      </c>
      <c r="N20" s="2">
        <f t="shared" si="4"/>
        <v>0</v>
      </c>
      <c r="O20" s="2">
        <f t="shared" si="5"/>
        <v>0</v>
      </c>
      <c r="P20" s="2">
        <f t="shared" si="6"/>
        <v>0</v>
      </c>
      <c r="S20" s="2">
        <f t="shared" si="19"/>
        <v>15</v>
      </c>
      <c r="T20" s="2">
        <f t="shared" si="15"/>
        <v>7.4920000000000027</v>
      </c>
      <c r="U20" s="2">
        <f t="shared" si="16"/>
        <v>7.4920000000000027</v>
      </c>
      <c r="V20" s="2">
        <v>17.600000000000001</v>
      </c>
      <c r="W20" s="2">
        <v>5</v>
      </c>
      <c r="X20" s="2">
        <v>0.4</v>
      </c>
      <c r="Y20" s="2">
        <v>0.28000000000000003</v>
      </c>
      <c r="Z20" s="2">
        <v>0.3</v>
      </c>
      <c r="AB20" s="2">
        <f t="shared" si="17"/>
        <v>7.4920000000000027</v>
      </c>
      <c r="AC20" s="2">
        <f t="shared" si="18"/>
        <v>7.4920000000000027</v>
      </c>
      <c r="AD20" s="2">
        <f t="shared" si="7"/>
        <v>20</v>
      </c>
      <c r="AE20" s="2">
        <f t="shared" si="8"/>
        <v>4</v>
      </c>
      <c r="AF20" s="2">
        <f t="shared" si="9"/>
        <v>0.2</v>
      </c>
      <c r="AG20" s="2">
        <f t="shared" si="10"/>
        <v>0.31622776601683794</v>
      </c>
      <c r="AH20" s="2">
        <f t="shared" si="11"/>
        <v>0</v>
      </c>
    </row>
    <row r="21" spans="1:34">
      <c r="A21" s="11">
        <v>0</v>
      </c>
      <c r="B21" s="11" t="s">
        <v>0</v>
      </c>
      <c r="C21" s="11">
        <v>0</v>
      </c>
      <c r="D21" s="11">
        <v>0</v>
      </c>
      <c r="E21" s="11">
        <v>0</v>
      </c>
      <c r="F21" s="11">
        <v>0</v>
      </c>
      <c r="G21" s="75">
        <v>0</v>
      </c>
      <c r="H21" s="2">
        <f t="shared" si="12"/>
        <v>1.0000000000000001E-9</v>
      </c>
      <c r="I21" s="2">
        <f t="shared" si="1"/>
        <v>1000</v>
      </c>
      <c r="J21" s="2">
        <f t="shared" si="13"/>
        <v>996</v>
      </c>
      <c r="K21" s="2">
        <f t="shared" si="14"/>
        <v>0</v>
      </c>
      <c r="L21" s="2">
        <f t="shared" si="2"/>
        <v>0</v>
      </c>
      <c r="M21" s="2">
        <f t="shared" si="3"/>
        <v>0</v>
      </c>
      <c r="N21" s="2">
        <f t="shared" si="4"/>
        <v>0</v>
      </c>
      <c r="O21" s="2">
        <f t="shared" si="5"/>
        <v>0</v>
      </c>
      <c r="P21" s="2">
        <f t="shared" si="6"/>
        <v>0</v>
      </c>
      <c r="S21" s="2">
        <f t="shared" si="19"/>
        <v>16</v>
      </c>
      <c r="T21" s="2">
        <f t="shared" si="15"/>
        <v>8.0200000000000031</v>
      </c>
      <c r="U21" s="2">
        <f t="shared" si="16"/>
        <v>8.0200000000000031</v>
      </c>
      <c r="V21" s="2">
        <v>17.600000000000001</v>
      </c>
      <c r="W21" s="2">
        <v>5</v>
      </c>
      <c r="X21" s="2">
        <v>0.4</v>
      </c>
      <c r="Y21" s="2">
        <v>0.28000000000000003</v>
      </c>
      <c r="Z21" s="2">
        <v>0.3</v>
      </c>
      <c r="AB21" s="2">
        <f t="shared" si="17"/>
        <v>8.0200000000000031</v>
      </c>
      <c r="AC21" s="2">
        <f t="shared" si="18"/>
        <v>8.0200000000000031</v>
      </c>
      <c r="AD21" s="2">
        <f t="shared" si="7"/>
        <v>20</v>
      </c>
      <c r="AE21" s="2">
        <f t="shared" si="8"/>
        <v>4</v>
      </c>
      <c r="AF21" s="2">
        <f t="shared" si="9"/>
        <v>0.2</v>
      </c>
      <c r="AG21" s="2">
        <f t="shared" si="10"/>
        <v>0.31622776601683794</v>
      </c>
      <c r="AH21" s="2">
        <f t="shared" si="11"/>
        <v>0</v>
      </c>
    </row>
    <row r="22" spans="1:34">
      <c r="A22" s="11">
        <v>0</v>
      </c>
      <c r="B22" s="11" t="s">
        <v>0</v>
      </c>
      <c r="C22" s="11">
        <v>0</v>
      </c>
      <c r="D22" s="11">
        <v>0</v>
      </c>
      <c r="E22" s="11">
        <v>0</v>
      </c>
      <c r="F22" s="11">
        <v>0</v>
      </c>
      <c r="G22" s="75">
        <v>0</v>
      </c>
      <c r="H22" s="2">
        <f t="shared" si="12"/>
        <v>1.0000000000000001E-9</v>
      </c>
      <c r="I22" s="2">
        <f t="shared" si="1"/>
        <v>1000</v>
      </c>
      <c r="J22" s="2">
        <f t="shared" si="13"/>
        <v>996</v>
      </c>
      <c r="K22" s="2">
        <f t="shared" si="14"/>
        <v>0</v>
      </c>
      <c r="L22" s="2">
        <f t="shared" si="2"/>
        <v>0</v>
      </c>
      <c r="M22" s="2">
        <f t="shared" si="3"/>
        <v>0</v>
      </c>
      <c r="N22" s="2">
        <f t="shared" si="4"/>
        <v>0</v>
      </c>
      <c r="O22" s="2">
        <f t="shared" si="5"/>
        <v>0</v>
      </c>
      <c r="P22" s="2">
        <f t="shared" si="6"/>
        <v>0</v>
      </c>
      <c r="S22" s="2">
        <f t="shared" si="19"/>
        <v>17</v>
      </c>
      <c r="T22" s="2">
        <f t="shared" si="15"/>
        <v>8.5480000000000036</v>
      </c>
      <c r="U22" s="2">
        <f t="shared" si="16"/>
        <v>8.5480000000000036</v>
      </c>
      <c r="V22" s="2">
        <v>17.600000000000001</v>
      </c>
      <c r="W22" s="2">
        <v>5</v>
      </c>
      <c r="X22" s="2">
        <v>0.4</v>
      </c>
      <c r="Y22" s="2">
        <v>0.28000000000000003</v>
      </c>
      <c r="Z22" s="2">
        <v>0.3</v>
      </c>
      <c r="AB22" s="2">
        <f t="shared" si="17"/>
        <v>8.5480000000000036</v>
      </c>
      <c r="AC22" s="2">
        <f t="shared" si="18"/>
        <v>8.5480000000000036</v>
      </c>
      <c r="AD22" s="2">
        <f t="shared" si="7"/>
        <v>20</v>
      </c>
      <c r="AE22" s="2">
        <f t="shared" si="8"/>
        <v>4</v>
      </c>
      <c r="AF22" s="2">
        <f t="shared" si="9"/>
        <v>0.2</v>
      </c>
      <c r="AG22" s="2">
        <f t="shared" si="10"/>
        <v>0.31622776601683794</v>
      </c>
      <c r="AH22" s="2">
        <f t="shared" si="11"/>
        <v>0</v>
      </c>
    </row>
    <row r="23" spans="1:34">
      <c r="A23" s="11">
        <v>0</v>
      </c>
      <c r="B23" s="11" t="s">
        <v>0</v>
      </c>
      <c r="C23" s="11">
        <v>0</v>
      </c>
      <c r="D23" s="11">
        <v>0</v>
      </c>
      <c r="E23" s="11">
        <v>0</v>
      </c>
      <c r="F23" s="11">
        <v>0</v>
      </c>
      <c r="G23" s="75">
        <v>0</v>
      </c>
      <c r="H23" s="2">
        <f t="shared" si="12"/>
        <v>1.0000000000000001E-9</v>
      </c>
      <c r="I23" s="2">
        <f t="shared" si="1"/>
        <v>1000</v>
      </c>
      <c r="J23" s="2">
        <f t="shared" si="13"/>
        <v>996</v>
      </c>
      <c r="K23" s="2">
        <f t="shared" si="14"/>
        <v>0</v>
      </c>
      <c r="L23" s="2">
        <f t="shared" si="2"/>
        <v>0</v>
      </c>
      <c r="M23" s="2">
        <f t="shared" si="3"/>
        <v>0</v>
      </c>
      <c r="N23" s="2">
        <f t="shared" si="4"/>
        <v>0</v>
      </c>
      <c r="O23" s="2">
        <f t="shared" si="5"/>
        <v>0</v>
      </c>
      <c r="P23" s="2">
        <f t="shared" si="6"/>
        <v>0</v>
      </c>
      <c r="S23" s="2">
        <f t="shared" si="19"/>
        <v>18</v>
      </c>
      <c r="T23" s="2">
        <f t="shared" si="15"/>
        <v>9.0760000000000041</v>
      </c>
      <c r="U23" s="2">
        <f t="shared" si="16"/>
        <v>9.0760000000000041</v>
      </c>
      <c r="V23" s="2">
        <v>17.600000000000001</v>
      </c>
      <c r="W23" s="2">
        <v>5</v>
      </c>
      <c r="X23" s="2">
        <v>0.4</v>
      </c>
      <c r="Y23" s="2">
        <v>0.28000000000000003</v>
      </c>
      <c r="Z23" s="2">
        <v>0.3</v>
      </c>
      <c r="AB23" s="2">
        <f t="shared" si="17"/>
        <v>9.0760000000000041</v>
      </c>
      <c r="AC23" s="2">
        <f t="shared" si="18"/>
        <v>9.0760000000000041</v>
      </c>
      <c r="AD23" s="2">
        <f t="shared" si="7"/>
        <v>20</v>
      </c>
      <c r="AE23" s="2">
        <f t="shared" si="8"/>
        <v>4</v>
      </c>
      <c r="AF23" s="2">
        <f t="shared" si="9"/>
        <v>0.2</v>
      </c>
      <c r="AG23" s="2">
        <f t="shared" si="10"/>
        <v>0.31622776601683794</v>
      </c>
      <c r="AH23" s="2">
        <f t="shared" si="11"/>
        <v>0</v>
      </c>
    </row>
    <row r="24" spans="1:34">
      <c r="A24" s="11">
        <v>0</v>
      </c>
      <c r="B24" s="11" t="s">
        <v>0</v>
      </c>
      <c r="C24" s="11">
        <v>0</v>
      </c>
      <c r="D24" s="11">
        <v>0</v>
      </c>
      <c r="E24" s="11">
        <v>0</v>
      </c>
      <c r="F24" s="11">
        <v>0</v>
      </c>
      <c r="G24" s="75">
        <v>0</v>
      </c>
      <c r="H24" s="2">
        <f t="shared" si="12"/>
        <v>1.0000000000000001E-9</v>
      </c>
      <c r="I24" s="2">
        <f t="shared" si="1"/>
        <v>1000</v>
      </c>
      <c r="J24" s="2">
        <f t="shared" si="13"/>
        <v>996</v>
      </c>
      <c r="K24" s="2">
        <f t="shared" si="14"/>
        <v>0</v>
      </c>
      <c r="L24" s="2">
        <f t="shared" si="2"/>
        <v>0</v>
      </c>
      <c r="M24" s="2">
        <f t="shared" si="3"/>
        <v>0</v>
      </c>
      <c r="N24" s="2">
        <f t="shared" si="4"/>
        <v>0</v>
      </c>
      <c r="O24" s="2">
        <f t="shared" si="5"/>
        <v>0</v>
      </c>
      <c r="P24" s="2">
        <f t="shared" si="6"/>
        <v>0</v>
      </c>
      <c r="S24" s="2">
        <f t="shared" si="19"/>
        <v>19</v>
      </c>
      <c r="T24" s="2">
        <f t="shared" si="15"/>
        <v>9.6040000000000045</v>
      </c>
      <c r="U24" s="2">
        <f t="shared" si="16"/>
        <v>9.6040000000000045</v>
      </c>
      <c r="V24" s="2">
        <v>17.600000000000001</v>
      </c>
      <c r="W24" s="2">
        <v>5</v>
      </c>
      <c r="X24" s="2">
        <v>0.4</v>
      </c>
      <c r="Y24" s="2">
        <v>0.28000000000000003</v>
      </c>
      <c r="Z24" s="2">
        <v>0.3</v>
      </c>
      <c r="AB24" s="2">
        <f t="shared" si="17"/>
        <v>9.6040000000000045</v>
      </c>
      <c r="AC24" s="2">
        <f t="shared" si="18"/>
        <v>9.6040000000000045</v>
      </c>
      <c r="AD24" s="2">
        <f t="shared" si="7"/>
        <v>20</v>
      </c>
      <c r="AE24" s="2">
        <f t="shared" si="8"/>
        <v>4</v>
      </c>
      <c r="AF24" s="2">
        <f t="shared" si="9"/>
        <v>0.2</v>
      </c>
      <c r="AG24" s="2">
        <f t="shared" si="10"/>
        <v>0.31622776601683794</v>
      </c>
      <c r="AH24" s="2">
        <f t="shared" si="11"/>
        <v>0</v>
      </c>
    </row>
    <row r="25" spans="1:34">
      <c r="A25" s="11">
        <v>0</v>
      </c>
      <c r="B25" s="11" t="s">
        <v>0</v>
      </c>
      <c r="C25" s="11">
        <v>0</v>
      </c>
      <c r="D25" s="11">
        <v>0</v>
      </c>
      <c r="E25" s="11">
        <v>0</v>
      </c>
      <c r="F25" s="11">
        <v>0</v>
      </c>
      <c r="G25" s="75">
        <v>0</v>
      </c>
      <c r="H25" s="2">
        <f t="shared" si="12"/>
        <v>1.0000000000000001E-9</v>
      </c>
      <c r="I25" s="2">
        <f t="shared" si="1"/>
        <v>1000</v>
      </c>
      <c r="J25" s="2">
        <f t="shared" si="13"/>
        <v>996</v>
      </c>
      <c r="K25" s="2">
        <f t="shared" si="14"/>
        <v>0</v>
      </c>
      <c r="L25" s="2">
        <f t="shared" si="2"/>
        <v>0</v>
      </c>
      <c r="M25" s="2">
        <f t="shared" si="3"/>
        <v>0</v>
      </c>
      <c r="N25" s="2">
        <f t="shared" si="4"/>
        <v>0</v>
      </c>
      <c r="O25" s="2">
        <f t="shared" si="5"/>
        <v>0</v>
      </c>
      <c r="P25" s="2">
        <f t="shared" si="6"/>
        <v>0</v>
      </c>
      <c r="S25" s="2">
        <f t="shared" si="19"/>
        <v>20</v>
      </c>
      <c r="T25" s="2">
        <f>IF($R$4&gt;=0,IF(T24&gt;=$R$5,$R$5+0.0001,T24+$R$4),IF(T24&lt;=$R$5,$R$5-0.0001,T24+$R$4))</f>
        <v>10.132000000000005</v>
      </c>
      <c r="U25" s="2">
        <f t="shared" si="16"/>
        <v>10.132000000000005</v>
      </c>
      <c r="V25" s="2">
        <v>17.600000000000001</v>
      </c>
      <c r="W25" s="2">
        <v>5</v>
      </c>
      <c r="X25" s="2">
        <v>0.4</v>
      </c>
      <c r="Y25" s="2">
        <v>0.28000000000000003</v>
      </c>
      <c r="Z25" s="2">
        <v>0.3</v>
      </c>
      <c r="AB25" s="2">
        <f t="shared" si="17"/>
        <v>10.132000000000005</v>
      </c>
      <c r="AC25" s="2">
        <f t="shared" si="18"/>
        <v>10.132000000000005</v>
      </c>
      <c r="AD25" s="2">
        <f t="shared" si="7"/>
        <v>20</v>
      </c>
      <c r="AE25" s="2">
        <f t="shared" si="8"/>
        <v>4</v>
      </c>
      <c r="AF25" s="2">
        <f t="shared" si="9"/>
        <v>0.2</v>
      </c>
      <c r="AG25" s="2">
        <f t="shared" si="10"/>
        <v>0.31622776601683794</v>
      </c>
      <c r="AH25" s="2">
        <f t="shared" si="11"/>
        <v>0</v>
      </c>
    </row>
    <row r="26" spans="1:34">
      <c r="A26" s="11">
        <v>0</v>
      </c>
      <c r="B26" s="11" t="s">
        <v>0</v>
      </c>
      <c r="C26" s="11">
        <v>0</v>
      </c>
      <c r="D26" s="11">
        <v>0</v>
      </c>
      <c r="E26" s="11">
        <v>0</v>
      </c>
      <c r="F26" s="11">
        <v>0</v>
      </c>
      <c r="G26" s="75">
        <v>0</v>
      </c>
      <c r="H26" s="2">
        <f t="shared" si="12"/>
        <v>1.0000000000000001E-9</v>
      </c>
      <c r="I26" s="2">
        <f t="shared" si="1"/>
        <v>1000</v>
      </c>
      <c r="J26" s="2">
        <f t="shared" si="13"/>
        <v>996</v>
      </c>
      <c r="K26" s="2">
        <f t="shared" si="14"/>
        <v>0</v>
      </c>
      <c r="L26" s="2">
        <f t="shared" si="2"/>
        <v>0</v>
      </c>
      <c r="M26" s="2">
        <f t="shared" si="3"/>
        <v>0</v>
      </c>
      <c r="N26" s="2">
        <f t="shared" si="4"/>
        <v>0</v>
      </c>
      <c r="O26" s="2">
        <f t="shared" si="5"/>
        <v>0</v>
      </c>
      <c r="P26" s="2">
        <f t="shared" si="6"/>
        <v>0</v>
      </c>
      <c r="S26" s="2">
        <f t="shared" si="19"/>
        <v>21</v>
      </c>
      <c r="T26" s="2">
        <f t="shared" ref="T26:T89" si="20">IF($R$4&gt;=0,IF(T25&gt;=$R$5,$R$5+0.0001,T25+$R$4),IF(T25&lt;=$R$5,$R$5-0.0001,T25+$R$4))</f>
        <v>10.660000000000005</v>
      </c>
      <c r="U26" s="2">
        <f t="shared" si="16"/>
        <v>10.660000000000005</v>
      </c>
      <c r="V26" s="2">
        <v>17.600000000000001</v>
      </c>
      <c r="W26" s="2">
        <v>5</v>
      </c>
      <c r="X26" s="2">
        <v>0.4</v>
      </c>
      <c r="Y26" s="2">
        <v>0.28000000000000003</v>
      </c>
      <c r="Z26" s="2">
        <v>0.3</v>
      </c>
      <c r="AB26" s="2">
        <f t="shared" si="17"/>
        <v>10.660000000000005</v>
      </c>
      <c r="AC26" s="2">
        <f t="shared" si="18"/>
        <v>10.660000000000005</v>
      </c>
      <c r="AD26" s="2">
        <f t="shared" si="7"/>
        <v>20</v>
      </c>
      <c r="AE26" s="2">
        <f t="shared" si="8"/>
        <v>4</v>
      </c>
      <c r="AF26" s="2">
        <f t="shared" si="9"/>
        <v>0.2</v>
      </c>
      <c r="AG26" s="2">
        <f t="shared" si="10"/>
        <v>0.31622776601683794</v>
      </c>
      <c r="AH26" s="2">
        <f t="shared" si="11"/>
        <v>0</v>
      </c>
    </row>
    <row r="27" spans="1:34">
      <c r="A27" s="11">
        <v>0</v>
      </c>
      <c r="B27" s="11" t="s">
        <v>0</v>
      </c>
      <c r="C27" s="11">
        <v>0</v>
      </c>
      <c r="D27" s="11">
        <v>0</v>
      </c>
      <c r="E27" s="11">
        <v>0</v>
      </c>
      <c r="F27" s="11">
        <v>0</v>
      </c>
      <c r="G27" s="75">
        <v>0</v>
      </c>
      <c r="H27" s="2">
        <f t="shared" si="12"/>
        <v>1.0000000000000001E-9</v>
      </c>
      <c r="I27" s="2">
        <f t="shared" si="1"/>
        <v>1000</v>
      </c>
      <c r="J27" s="2">
        <f t="shared" si="13"/>
        <v>996</v>
      </c>
      <c r="K27" s="2">
        <f t="shared" si="14"/>
        <v>0</v>
      </c>
      <c r="L27" s="2">
        <f t="shared" si="2"/>
        <v>0</v>
      </c>
      <c r="M27" s="2">
        <f t="shared" si="3"/>
        <v>0</v>
      </c>
      <c r="N27" s="2">
        <f t="shared" si="4"/>
        <v>0</v>
      </c>
      <c r="O27" s="2">
        <f t="shared" si="5"/>
        <v>0</v>
      </c>
      <c r="P27" s="2">
        <f t="shared" si="6"/>
        <v>0</v>
      </c>
      <c r="S27" s="2">
        <f t="shared" si="19"/>
        <v>22</v>
      </c>
      <c r="T27" s="2">
        <f t="shared" si="20"/>
        <v>11.188000000000006</v>
      </c>
      <c r="U27" s="2">
        <f t="shared" si="16"/>
        <v>11.188000000000006</v>
      </c>
      <c r="V27" s="2">
        <v>17.600000000000001</v>
      </c>
      <c r="W27" s="2">
        <v>5</v>
      </c>
      <c r="X27" s="2">
        <v>0.4</v>
      </c>
      <c r="Y27" s="2">
        <v>0.28000000000000003</v>
      </c>
      <c r="Z27" s="2">
        <v>0.3</v>
      </c>
      <c r="AB27" s="2">
        <f t="shared" si="17"/>
        <v>11.188000000000006</v>
      </c>
      <c r="AC27" s="2">
        <f t="shared" si="18"/>
        <v>11.188000000000006</v>
      </c>
      <c r="AD27" s="2">
        <f t="shared" si="7"/>
        <v>20</v>
      </c>
      <c r="AE27" s="2">
        <f t="shared" si="8"/>
        <v>4</v>
      </c>
      <c r="AF27" s="2">
        <f t="shared" si="9"/>
        <v>0.2</v>
      </c>
      <c r="AG27" s="2">
        <f t="shared" si="10"/>
        <v>0.31622776601683794</v>
      </c>
      <c r="AH27" s="2">
        <f t="shared" si="11"/>
        <v>0</v>
      </c>
    </row>
    <row r="28" spans="1:34">
      <c r="A28" s="11">
        <v>0</v>
      </c>
      <c r="B28" s="11" t="s">
        <v>0</v>
      </c>
      <c r="C28" s="11">
        <v>0</v>
      </c>
      <c r="D28" s="11">
        <v>0</v>
      </c>
      <c r="E28" s="11">
        <v>0</v>
      </c>
      <c r="F28" s="11">
        <v>0</v>
      </c>
      <c r="G28" s="75">
        <v>0</v>
      </c>
      <c r="H28" s="2">
        <f t="shared" si="12"/>
        <v>1.0000000000000001E-9</v>
      </c>
      <c r="I28" s="2">
        <f t="shared" si="1"/>
        <v>1000</v>
      </c>
      <c r="J28" s="2">
        <f t="shared" si="13"/>
        <v>996</v>
      </c>
      <c r="K28" s="2">
        <f t="shared" si="14"/>
        <v>0</v>
      </c>
      <c r="L28" s="2">
        <f t="shared" si="2"/>
        <v>0</v>
      </c>
      <c r="M28" s="2">
        <f t="shared" si="3"/>
        <v>0</v>
      </c>
      <c r="N28" s="2">
        <f t="shared" si="4"/>
        <v>0</v>
      </c>
      <c r="O28" s="2">
        <f t="shared" si="5"/>
        <v>0</v>
      </c>
      <c r="P28" s="2">
        <f t="shared" si="6"/>
        <v>0</v>
      </c>
      <c r="S28" s="2">
        <f t="shared" si="19"/>
        <v>23</v>
      </c>
      <c r="T28" s="2">
        <f t="shared" si="20"/>
        <v>11.716000000000006</v>
      </c>
      <c r="U28" s="2">
        <f t="shared" si="16"/>
        <v>11.716000000000006</v>
      </c>
      <c r="V28" s="2">
        <v>17.600000000000001</v>
      </c>
      <c r="W28" s="2">
        <v>5</v>
      </c>
      <c r="X28" s="2">
        <v>0.4</v>
      </c>
      <c r="Y28" s="2">
        <v>0.28000000000000003</v>
      </c>
      <c r="Z28" s="2">
        <v>0.3</v>
      </c>
      <c r="AB28" s="2">
        <f t="shared" si="17"/>
        <v>11.716000000000006</v>
      </c>
      <c r="AC28" s="2">
        <f t="shared" si="18"/>
        <v>11.716000000000006</v>
      </c>
      <c r="AD28" s="2">
        <f t="shared" si="7"/>
        <v>20</v>
      </c>
      <c r="AE28" s="2">
        <f t="shared" si="8"/>
        <v>4</v>
      </c>
      <c r="AF28" s="2">
        <f t="shared" si="9"/>
        <v>0.2</v>
      </c>
      <c r="AG28" s="2">
        <f t="shared" si="10"/>
        <v>0.31622776601683794</v>
      </c>
      <c r="AH28" s="2">
        <f t="shared" si="11"/>
        <v>0</v>
      </c>
    </row>
    <row r="29" spans="1:34">
      <c r="A29" s="11">
        <v>0</v>
      </c>
      <c r="B29" s="11" t="s">
        <v>0</v>
      </c>
      <c r="C29" s="11">
        <v>0</v>
      </c>
      <c r="D29" s="11">
        <v>0</v>
      </c>
      <c r="E29" s="11">
        <v>0</v>
      </c>
      <c r="F29" s="11">
        <v>0</v>
      </c>
      <c r="G29" s="75">
        <v>0</v>
      </c>
      <c r="H29" s="2">
        <f t="shared" si="12"/>
        <v>1.0000000000000001E-9</v>
      </c>
      <c r="I29" s="2">
        <f t="shared" si="1"/>
        <v>1000</v>
      </c>
      <c r="J29" s="2">
        <f t="shared" si="13"/>
        <v>996</v>
      </c>
      <c r="K29" s="2">
        <f t="shared" si="14"/>
        <v>0</v>
      </c>
      <c r="L29" s="2">
        <f t="shared" si="2"/>
        <v>0</v>
      </c>
      <c r="M29" s="2">
        <f t="shared" si="3"/>
        <v>0</v>
      </c>
      <c r="N29" s="2">
        <f t="shared" si="4"/>
        <v>0</v>
      </c>
      <c r="O29" s="2">
        <f t="shared" si="5"/>
        <v>0</v>
      </c>
      <c r="P29" s="2">
        <f t="shared" si="6"/>
        <v>0</v>
      </c>
      <c r="S29" s="2">
        <f t="shared" si="19"/>
        <v>24</v>
      </c>
      <c r="T29" s="2">
        <f t="shared" si="20"/>
        <v>12.244000000000007</v>
      </c>
      <c r="U29" s="2">
        <f t="shared" si="16"/>
        <v>12.244000000000007</v>
      </c>
      <c r="V29" s="2">
        <v>20.8</v>
      </c>
      <c r="W29" s="2">
        <v>4</v>
      </c>
      <c r="X29" s="2">
        <v>0.4</v>
      </c>
      <c r="Y29" s="2">
        <v>0.28000000000000003</v>
      </c>
      <c r="Z29" s="2">
        <v>0.3</v>
      </c>
      <c r="AB29" s="2">
        <f t="shared" si="17"/>
        <v>12.244000000000007</v>
      </c>
      <c r="AC29" s="2">
        <f t="shared" si="18"/>
        <v>12.244000000000007</v>
      </c>
      <c r="AD29" s="2">
        <f t="shared" si="7"/>
        <v>20</v>
      </c>
      <c r="AE29" s="2">
        <f t="shared" si="8"/>
        <v>4</v>
      </c>
      <c r="AF29" s="2">
        <f t="shared" si="9"/>
        <v>0.2</v>
      </c>
      <c r="AG29" s="2">
        <f t="shared" si="10"/>
        <v>0.31622776601683794</v>
      </c>
      <c r="AH29" s="2">
        <f t="shared" si="11"/>
        <v>0</v>
      </c>
    </row>
    <row r="30" spans="1:34">
      <c r="A30" s="11">
        <v>0</v>
      </c>
      <c r="B30" s="11" t="s">
        <v>0</v>
      </c>
      <c r="C30" s="11">
        <v>0</v>
      </c>
      <c r="D30" s="11">
        <v>0</v>
      </c>
      <c r="E30" s="11">
        <v>0</v>
      </c>
      <c r="F30" s="11">
        <v>0</v>
      </c>
      <c r="G30" s="75">
        <v>0</v>
      </c>
      <c r="H30" s="2">
        <f t="shared" si="12"/>
        <v>1.0000000000000001E-9</v>
      </c>
      <c r="I30" s="2">
        <f t="shared" si="1"/>
        <v>1000</v>
      </c>
      <c r="J30" s="2">
        <f t="shared" si="13"/>
        <v>996</v>
      </c>
      <c r="K30" s="2">
        <f t="shared" si="14"/>
        <v>0</v>
      </c>
      <c r="L30" s="2">
        <f t="shared" si="2"/>
        <v>0</v>
      </c>
      <c r="M30" s="2">
        <f t="shared" si="3"/>
        <v>0</v>
      </c>
      <c r="N30" s="2">
        <f t="shared" si="4"/>
        <v>0</v>
      </c>
      <c r="O30" s="2">
        <f t="shared" si="5"/>
        <v>0</v>
      </c>
      <c r="P30" s="2">
        <f t="shared" si="6"/>
        <v>0</v>
      </c>
      <c r="S30" s="2">
        <f t="shared" si="19"/>
        <v>25</v>
      </c>
      <c r="T30" s="2">
        <f t="shared" si="20"/>
        <v>12.772000000000007</v>
      </c>
      <c r="U30" s="2">
        <f t="shared" si="16"/>
        <v>12.772000000000007</v>
      </c>
      <c r="V30" s="2">
        <v>20.8</v>
      </c>
      <c r="W30" s="2">
        <v>4</v>
      </c>
      <c r="X30" s="2">
        <v>0.4</v>
      </c>
      <c r="Y30" s="2">
        <v>0.28000000000000003</v>
      </c>
      <c r="Z30" s="2">
        <v>0.3</v>
      </c>
      <c r="AB30" s="2">
        <f t="shared" si="17"/>
        <v>12.772000000000007</v>
      </c>
      <c r="AC30" s="2">
        <f t="shared" si="18"/>
        <v>12.772000000000007</v>
      </c>
      <c r="AD30" s="2">
        <f t="shared" si="7"/>
        <v>20</v>
      </c>
      <c r="AE30" s="2">
        <f t="shared" si="8"/>
        <v>4</v>
      </c>
      <c r="AF30" s="2">
        <f t="shared" si="9"/>
        <v>0.2</v>
      </c>
      <c r="AG30" s="2">
        <f t="shared" si="10"/>
        <v>0.31622776601683794</v>
      </c>
      <c r="AH30" s="2">
        <f t="shared" si="11"/>
        <v>0</v>
      </c>
    </row>
    <row r="31" spans="1:34">
      <c r="A31" s="11">
        <v>0</v>
      </c>
      <c r="B31" s="11" t="s">
        <v>0</v>
      </c>
      <c r="C31" s="11">
        <v>0</v>
      </c>
      <c r="D31" s="11">
        <v>0</v>
      </c>
      <c r="E31" s="11">
        <v>0</v>
      </c>
      <c r="F31" s="11">
        <v>0</v>
      </c>
      <c r="G31" s="75">
        <v>0</v>
      </c>
      <c r="H31" s="2">
        <f t="shared" si="12"/>
        <v>1.0000000000000001E-9</v>
      </c>
      <c r="I31" s="2">
        <f t="shared" si="1"/>
        <v>1000</v>
      </c>
      <c r="J31" s="2">
        <f t="shared" si="13"/>
        <v>996</v>
      </c>
      <c r="K31" s="2">
        <f t="shared" si="14"/>
        <v>0</v>
      </c>
      <c r="L31" s="2">
        <f t="shared" si="2"/>
        <v>0</v>
      </c>
      <c r="M31" s="2">
        <f t="shared" si="3"/>
        <v>0</v>
      </c>
      <c r="N31" s="2">
        <f t="shared" si="4"/>
        <v>0</v>
      </c>
      <c r="O31" s="2">
        <f t="shared" si="5"/>
        <v>0</v>
      </c>
      <c r="P31" s="2">
        <f t="shared" si="6"/>
        <v>0</v>
      </c>
      <c r="S31" s="2">
        <f t="shared" si="19"/>
        <v>26</v>
      </c>
      <c r="T31" s="2">
        <f t="shared" si="20"/>
        <v>13.300000000000008</v>
      </c>
      <c r="U31" s="2">
        <f t="shared" si="16"/>
        <v>13.300000000000008</v>
      </c>
      <c r="V31" s="2">
        <v>20.8</v>
      </c>
      <c r="W31" s="2">
        <v>4</v>
      </c>
      <c r="X31" s="2">
        <v>0.4</v>
      </c>
      <c r="Y31" s="2">
        <v>0.28000000000000003</v>
      </c>
      <c r="Z31" s="2">
        <v>0.3</v>
      </c>
      <c r="AB31" s="2">
        <f t="shared" si="17"/>
        <v>13.300000000000008</v>
      </c>
      <c r="AC31" s="2">
        <f t="shared" si="18"/>
        <v>13.300000000000008</v>
      </c>
      <c r="AD31" s="2">
        <f t="shared" si="7"/>
        <v>20</v>
      </c>
      <c r="AE31" s="2">
        <f t="shared" si="8"/>
        <v>4</v>
      </c>
      <c r="AF31" s="2">
        <f t="shared" si="9"/>
        <v>0.2</v>
      </c>
      <c r="AG31" s="2">
        <f t="shared" si="10"/>
        <v>0.31622776601683794</v>
      </c>
      <c r="AH31" s="2">
        <f t="shared" si="11"/>
        <v>0</v>
      </c>
    </row>
    <row r="32" spans="1:34">
      <c r="A32" s="11">
        <v>0</v>
      </c>
      <c r="B32" s="11" t="s">
        <v>0</v>
      </c>
      <c r="C32" s="11">
        <v>0</v>
      </c>
      <c r="D32" s="11">
        <v>0</v>
      </c>
      <c r="E32" s="11">
        <v>0</v>
      </c>
      <c r="F32" s="11">
        <v>0</v>
      </c>
      <c r="G32" s="75">
        <v>0</v>
      </c>
      <c r="H32" s="2">
        <f t="shared" si="12"/>
        <v>1.0000000000000001E-9</v>
      </c>
      <c r="I32" s="2">
        <f t="shared" si="1"/>
        <v>1000</v>
      </c>
      <c r="J32" s="2">
        <f t="shared" si="13"/>
        <v>996</v>
      </c>
      <c r="K32" s="2">
        <f t="shared" si="14"/>
        <v>0</v>
      </c>
      <c r="L32" s="2">
        <f t="shared" si="2"/>
        <v>0</v>
      </c>
      <c r="M32" s="2">
        <f t="shared" si="3"/>
        <v>0</v>
      </c>
      <c r="N32" s="2">
        <f t="shared" si="4"/>
        <v>0</v>
      </c>
      <c r="O32" s="2">
        <f t="shared" si="5"/>
        <v>0</v>
      </c>
      <c r="P32" s="2">
        <f t="shared" si="6"/>
        <v>0</v>
      </c>
      <c r="S32" s="2">
        <f t="shared" si="19"/>
        <v>27</v>
      </c>
      <c r="T32" s="2">
        <f t="shared" si="20"/>
        <v>13.828000000000008</v>
      </c>
      <c r="U32" s="2">
        <f t="shared" si="16"/>
        <v>13.828000000000008</v>
      </c>
      <c r="V32" s="2">
        <v>20.8</v>
      </c>
      <c r="W32" s="2">
        <v>4</v>
      </c>
      <c r="X32" s="2">
        <v>0.4</v>
      </c>
      <c r="Y32" s="2">
        <v>0.28000000000000003</v>
      </c>
      <c r="Z32" s="2">
        <v>0.3</v>
      </c>
      <c r="AB32" s="2">
        <f t="shared" si="17"/>
        <v>13.828000000000008</v>
      </c>
      <c r="AC32" s="2">
        <f t="shared" si="18"/>
        <v>13.828000000000008</v>
      </c>
      <c r="AD32" s="2">
        <f t="shared" si="7"/>
        <v>20</v>
      </c>
      <c r="AE32" s="2">
        <f t="shared" si="8"/>
        <v>4</v>
      </c>
      <c r="AF32" s="2">
        <f t="shared" si="9"/>
        <v>0.2</v>
      </c>
      <c r="AG32" s="2">
        <f t="shared" si="10"/>
        <v>0.31622776601683794</v>
      </c>
      <c r="AH32" s="2">
        <f t="shared" si="11"/>
        <v>0</v>
      </c>
    </row>
    <row r="33" spans="1:34">
      <c r="A33" s="11">
        <v>0</v>
      </c>
      <c r="B33" s="11" t="s">
        <v>0</v>
      </c>
      <c r="C33" s="11">
        <v>0</v>
      </c>
      <c r="D33" s="11">
        <v>0</v>
      </c>
      <c r="E33" s="11">
        <v>0</v>
      </c>
      <c r="F33" s="11">
        <v>0</v>
      </c>
      <c r="G33" s="75">
        <v>0</v>
      </c>
      <c r="H33" s="2">
        <f t="shared" si="12"/>
        <v>1.0000000000000001E-9</v>
      </c>
      <c r="I33" s="2">
        <f t="shared" si="1"/>
        <v>1000</v>
      </c>
      <c r="J33" s="2">
        <f t="shared" si="13"/>
        <v>996</v>
      </c>
      <c r="K33" s="2">
        <f t="shared" si="14"/>
        <v>0</v>
      </c>
      <c r="L33" s="2">
        <f t="shared" si="2"/>
        <v>0</v>
      </c>
      <c r="M33" s="2">
        <f t="shared" si="3"/>
        <v>0</v>
      </c>
      <c r="N33" s="2">
        <f t="shared" si="4"/>
        <v>0</v>
      </c>
      <c r="O33" s="2">
        <f t="shared" si="5"/>
        <v>0</v>
      </c>
      <c r="P33" s="2">
        <f t="shared" si="6"/>
        <v>0</v>
      </c>
      <c r="S33" s="2">
        <f t="shared" si="19"/>
        <v>28</v>
      </c>
      <c r="T33" s="2">
        <f t="shared" si="20"/>
        <v>14.356000000000009</v>
      </c>
      <c r="U33" s="2">
        <f t="shared" si="16"/>
        <v>14.356000000000009</v>
      </c>
      <c r="V33" s="2">
        <v>20.8</v>
      </c>
      <c r="W33" s="2">
        <v>4</v>
      </c>
      <c r="X33" s="2">
        <v>0.4</v>
      </c>
      <c r="Y33" s="2">
        <v>0.28000000000000003</v>
      </c>
      <c r="Z33" s="2">
        <v>0.3</v>
      </c>
      <c r="AB33" s="2">
        <f t="shared" si="17"/>
        <v>14.356000000000009</v>
      </c>
      <c r="AC33" s="2">
        <f t="shared" si="18"/>
        <v>14.356000000000009</v>
      </c>
      <c r="AD33" s="2">
        <f t="shared" si="7"/>
        <v>20</v>
      </c>
      <c r="AE33" s="2">
        <f t="shared" si="8"/>
        <v>4</v>
      </c>
      <c r="AF33" s="2">
        <f t="shared" si="9"/>
        <v>0.2</v>
      </c>
      <c r="AG33" s="2">
        <f t="shared" si="10"/>
        <v>0.31622776601683794</v>
      </c>
      <c r="AH33" s="2">
        <f t="shared" si="11"/>
        <v>0</v>
      </c>
    </row>
    <row r="34" spans="1:34">
      <c r="A34" s="11">
        <v>0</v>
      </c>
      <c r="B34" s="11" t="s">
        <v>0</v>
      </c>
      <c r="C34" s="11">
        <v>0</v>
      </c>
      <c r="D34" s="11">
        <v>0</v>
      </c>
      <c r="E34" s="11">
        <v>0</v>
      </c>
      <c r="F34" s="11">
        <v>0</v>
      </c>
      <c r="G34" s="75">
        <v>0</v>
      </c>
      <c r="H34" s="2">
        <f t="shared" si="12"/>
        <v>1.0000000000000001E-9</v>
      </c>
      <c r="I34" s="2">
        <f t="shared" si="1"/>
        <v>1000</v>
      </c>
      <c r="J34" s="2">
        <f t="shared" si="13"/>
        <v>996</v>
      </c>
      <c r="K34" s="2">
        <f t="shared" si="14"/>
        <v>0</v>
      </c>
      <c r="L34" s="2">
        <f t="shared" si="2"/>
        <v>0</v>
      </c>
      <c r="M34" s="2">
        <f t="shared" si="3"/>
        <v>0</v>
      </c>
      <c r="N34" s="2">
        <f t="shared" si="4"/>
        <v>0</v>
      </c>
      <c r="O34" s="2">
        <f t="shared" si="5"/>
        <v>0</v>
      </c>
      <c r="P34" s="2">
        <f t="shared" si="6"/>
        <v>0</v>
      </c>
      <c r="S34" s="2">
        <f t="shared" si="19"/>
        <v>29</v>
      </c>
      <c r="T34" s="2">
        <f t="shared" si="20"/>
        <v>14.884000000000009</v>
      </c>
      <c r="U34" s="2">
        <f t="shared" si="16"/>
        <v>14.884000000000009</v>
      </c>
      <c r="V34" s="2">
        <v>20.8</v>
      </c>
      <c r="W34" s="2">
        <v>4</v>
      </c>
      <c r="X34" s="2">
        <v>0.4</v>
      </c>
      <c r="Y34" s="2">
        <v>0.28000000000000003</v>
      </c>
      <c r="Z34" s="2">
        <v>0.3</v>
      </c>
      <c r="AB34" s="2">
        <f t="shared" si="17"/>
        <v>14.884000000000009</v>
      </c>
      <c r="AC34" s="2">
        <f t="shared" si="18"/>
        <v>14.884000000000009</v>
      </c>
      <c r="AD34" s="2">
        <f t="shared" si="7"/>
        <v>20</v>
      </c>
      <c r="AE34" s="2">
        <f t="shared" si="8"/>
        <v>4</v>
      </c>
      <c r="AF34" s="2">
        <f t="shared" si="9"/>
        <v>0.2</v>
      </c>
      <c r="AG34" s="2">
        <f t="shared" si="10"/>
        <v>0.31622776601683794</v>
      </c>
      <c r="AH34" s="2">
        <f t="shared" si="11"/>
        <v>0</v>
      </c>
    </row>
    <row r="35" spans="1:34">
      <c r="A35" s="11">
        <v>0</v>
      </c>
      <c r="B35" s="11" t="s">
        <v>0</v>
      </c>
      <c r="C35" s="11">
        <v>0</v>
      </c>
      <c r="D35" s="11">
        <v>0</v>
      </c>
      <c r="E35" s="11">
        <v>0</v>
      </c>
      <c r="F35" s="11">
        <v>0</v>
      </c>
      <c r="G35" s="75">
        <v>0</v>
      </c>
      <c r="H35" s="2">
        <f t="shared" si="12"/>
        <v>1.0000000000000001E-9</v>
      </c>
      <c r="I35" s="2">
        <f t="shared" si="1"/>
        <v>1000</v>
      </c>
      <c r="J35" s="2">
        <f t="shared" si="13"/>
        <v>996</v>
      </c>
      <c r="K35" s="2">
        <f t="shared" si="14"/>
        <v>0</v>
      </c>
      <c r="L35" s="2">
        <f t="shared" si="2"/>
        <v>0</v>
      </c>
      <c r="M35" s="2">
        <f t="shared" si="3"/>
        <v>0</v>
      </c>
      <c r="N35" s="2">
        <f t="shared" si="4"/>
        <v>0</v>
      </c>
      <c r="O35" s="2">
        <f t="shared" si="5"/>
        <v>0</v>
      </c>
      <c r="P35" s="2">
        <f t="shared" si="6"/>
        <v>0</v>
      </c>
      <c r="S35" s="2">
        <f t="shared" si="19"/>
        <v>30</v>
      </c>
      <c r="T35" s="2">
        <f t="shared" si="20"/>
        <v>15.41200000000001</v>
      </c>
      <c r="U35" s="2">
        <f t="shared" si="16"/>
        <v>15.41200000000001</v>
      </c>
      <c r="V35" s="2">
        <v>20.8</v>
      </c>
      <c r="W35" s="2">
        <v>4</v>
      </c>
      <c r="X35" s="2">
        <v>0.4</v>
      </c>
      <c r="Y35" s="2">
        <v>0.28000000000000003</v>
      </c>
      <c r="Z35" s="2">
        <v>0.3</v>
      </c>
      <c r="AB35" s="2">
        <f t="shared" si="17"/>
        <v>15.41200000000001</v>
      </c>
      <c r="AC35" s="2">
        <f t="shared" si="18"/>
        <v>15.41200000000001</v>
      </c>
      <c r="AD35" s="2">
        <f t="shared" si="7"/>
        <v>20</v>
      </c>
      <c r="AE35" s="2">
        <f t="shared" si="8"/>
        <v>4</v>
      </c>
      <c r="AF35" s="2">
        <f t="shared" si="9"/>
        <v>0.2</v>
      </c>
      <c r="AG35" s="2">
        <f t="shared" si="10"/>
        <v>0.31622776601683794</v>
      </c>
      <c r="AH35" s="2">
        <f t="shared" si="11"/>
        <v>0</v>
      </c>
    </row>
    <row r="36" spans="1:34">
      <c r="A36" s="11">
        <v>0</v>
      </c>
      <c r="B36" s="11" t="s">
        <v>0</v>
      </c>
      <c r="C36" s="11">
        <v>0</v>
      </c>
      <c r="D36" s="11">
        <v>0</v>
      </c>
      <c r="E36" s="11">
        <v>0</v>
      </c>
      <c r="F36" s="11">
        <v>0</v>
      </c>
      <c r="G36" s="75">
        <v>0</v>
      </c>
      <c r="H36" s="2">
        <f t="shared" si="12"/>
        <v>1.0000000000000001E-9</v>
      </c>
      <c r="I36" s="2">
        <f t="shared" si="1"/>
        <v>1000</v>
      </c>
      <c r="J36" s="2">
        <f t="shared" si="13"/>
        <v>996</v>
      </c>
      <c r="K36" s="2">
        <f t="shared" si="14"/>
        <v>0</v>
      </c>
      <c r="L36" s="2">
        <f t="shared" si="2"/>
        <v>0</v>
      </c>
      <c r="M36" s="2">
        <f t="shared" si="3"/>
        <v>0</v>
      </c>
      <c r="N36" s="2">
        <f t="shared" si="4"/>
        <v>0</v>
      </c>
      <c r="O36" s="2">
        <f t="shared" si="5"/>
        <v>0</v>
      </c>
      <c r="P36" s="2">
        <f t="shared" si="6"/>
        <v>0</v>
      </c>
      <c r="S36" s="2">
        <f t="shared" si="19"/>
        <v>31</v>
      </c>
      <c r="T36" s="2">
        <f t="shared" si="20"/>
        <v>15.94000000000001</v>
      </c>
      <c r="U36" s="2">
        <f t="shared" si="16"/>
        <v>15.94000000000001</v>
      </c>
      <c r="V36" s="2">
        <v>20.8</v>
      </c>
      <c r="W36" s="2">
        <v>4</v>
      </c>
      <c r="X36" s="2">
        <v>0.4</v>
      </c>
      <c r="Y36" s="2">
        <v>0.28000000000000003</v>
      </c>
      <c r="Z36" s="2">
        <v>0.3</v>
      </c>
      <c r="AB36" s="2">
        <f t="shared" si="17"/>
        <v>15.94000000000001</v>
      </c>
      <c r="AC36" s="2">
        <f t="shared" si="18"/>
        <v>15.94000000000001</v>
      </c>
      <c r="AD36" s="2">
        <f t="shared" si="7"/>
        <v>20</v>
      </c>
      <c r="AE36" s="2">
        <f t="shared" si="8"/>
        <v>4</v>
      </c>
      <c r="AF36" s="2">
        <f t="shared" si="9"/>
        <v>0.2</v>
      </c>
      <c r="AG36" s="2">
        <f t="shared" si="10"/>
        <v>0.31622776601683794</v>
      </c>
      <c r="AH36" s="2">
        <f t="shared" si="11"/>
        <v>0</v>
      </c>
    </row>
    <row r="37" spans="1:34">
      <c r="A37" s="11">
        <v>0</v>
      </c>
      <c r="B37" s="11" t="s">
        <v>0</v>
      </c>
      <c r="C37" s="11">
        <v>0</v>
      </c>
      <c r="D37" s="11">
        <v>0</v>
      </c>
      <c r="E37" s="11">
        <v>0</v>
      </c>
      <c r="F37" s="11">
        <v>0</v>
      </c>
      <c r="G37" s="75">
        <v>0</v>
      </c>
      <c r="H37" s="2">
        <f t="shared" si="12"/>
        <v>1.0000000000000001E-9</v>
      </c>
      <c r="I37" s="2">
        <f t="shared" si="1"/>
        <v>1000</v>
      </c>
      <c r="J37" s="2">
        <f t="shared" si="13"/>
        <v>996</v>
      </c>
      <c r="K37" s="2">
        <f t="shared" si="14"/>
        <v>0</v>
      </c>
      <c r="L37" s="2">
        <f t="shared" si="2"/>
        <v>0</v>
      </c>
      <c r="M37" s="2">
        <f t="shared" si="3"/>
        <v>0</v>
      </c>
      <c r="N37" s="2">
        <f t="shared" si="4"/>
        <v>0</v>
      </c>
      <c r="O37" s="2">
        <f t="shared" si="5"/>
        <v>0</v>
      </c>
      <c r="P37" s="2">
        <f t="shared" si="6"/>
        <v>0</v>
      </c>
      <c r="S37" s="2">
        <f t="shared" si="19"/>
        <v>32</v>
      </c>
      <c r="T37" s="2">
        <f t="shared" si="20"/>
        <v>16.468000000000011</v>
      </c>
      <c r="U37" s="2">
        <f t="shared" si="16"/>
        <v>16.468000000000011</v>
      </c>
      <c r="V37" s="2">
        <v>20.8</v>
      </c>
      <c r="W37" s="2">
        <v>4</v>
      </c>
      <c r="X37" s="2">
        <v>0.4</v>
      </c>
      <c r="Y37" s="2">
        <v>0.28000000000000003</v>
      </c>
      <c r="Z37" s="2">
        <v>0.3</v>
      </c>
      <c r="AB37" s="2">
        <f t="shared" si="17"/>
        <v>16.468000000000011</v>
      </c>
      <c r="AC37" s="2">
        <f t="shared" si="18"/>
        <v>16.468000000000011</v>
      </c>
      <c r="AD37" s="2">
        <f t="shared" si="7"/>
        <v>20</v>
      </c>
      <c r="AE37" s="2">
        <f t="shared" si="8"/>
        <v>4</v>
      </c>
      <c r="AF37" s="2">
        <f t="shared" si="9"/>
        <v>0.2</v>
      </c>
      <c r="AG37" s="2">
        <f t="shared" si="10"/>
        <v>0.31622776601683794</v>
      </c>
      <c r="AH37" s="2">
        <f t="shared" si="11"/>
        <v>0</v>
      </c>
    </row>
    <row r="38" spans="1:34">
      <c r="A38" s="11">
        <v>0</v>
      </c>
      <c r="B38" s="11" t="s">
        <v>0</v>
      </c>
      <c r="C38" s="11">
        <v>0</v>
      </c>
      <c r="D38" s="11">
        <v>0</v>
      </c>
      <c r="E38" s="11">
        <v>0</v>
      </c>
      <c r="F38" s="11">
        <v>0</v>
      </c>
      <c r="G38" s="75">
        <v>0</v>
      </c>
      <c r="H38" s="2">
        <f t="shared" si="12"/>
        <v>1.0000000000000001E-9</v>
      </c>
      <c r="I38" s="2">
        <f t="shared" ref="I38:I69" si="21">IF(A38&gt;0,A38*H38,1000)</f>
        <v>1000</v>
      </c>
      <c r="J38" s="2">
        <f t="shared" si="13"/>
        <v>996</v>
      </c>
      <c r="K38" s="2">
        <f t="shared" si="14"/>
        <v>0</v>
      </c>
      <c r="L38" s="2">
        <f t="shared" ref="L38:L59" si="22">$K38*C38</f>
        <v>0</v>
      </c>
      <c r="M38" s="2">
        <f t="shared" ref="M38:M59" si="23">$K38*D38</f>
        <v>0</v>
      </c>
      <c r="N38" s="2">
        <f t="shared" ref="N38:N59" si="24">$K38*E38</f>
        <v>0</v>
      </c>
      <c r="O38" s="2">
        <f t="shared" ref="O38:O59" si="25">$K38*F38</f>
        <v>0</v>
      </c>
      <c r="P38" s="2">
        <f t="shared" si="6"/>
        <v>0</v>
      </c>
      <c r="S38" s="2">
        <f t="shared" si="19"/>
        <v>33</v>
      </c>
      <c r="T38" s="2">
        <f t="shared" si="20"/>
        <v>16.996000000000009</v>
      </c>
      <c r="U38" s="2">
        <f t="shared" si="16"/>
        <v>16.996000000000009</v>
      </c>
      <c r="V38" s="2">
        <v>20.8</v>
      </c>
      <c r="W38" s="2">
        <v>4</v>
      </c>
      <c r="X38" s="2">
        <v>0.4</v>
      </c>
      <c r="Y38" s="2">
        <v>0.28000000000000003</v>
      </c>
      <c r="Z38" s="2">
        <v>0.3</v>
      </c>
      <c r="AB38" s="2">
        <f t="shared" si="17"/>
        <v>16.996000000000009</v>
      </c>
      <c r="AC38" s="2">
        <f t="shared" si="18"/>
        <v>16.996000000000009</v>
      </c>
      <c r="AD38" s="2">
        <f t="shared" ref="AD38:AD69" si="26">(IF(DUT_DataType=1,SF_DUTGain,V38))</f>
        <v>20</v>
      </c>
      <c r="AE38" s="2">
        <f t="shared" ref="AE38:AE69" si="27">IF(DUT_DataType=1,SF_DUTNF,W38)</f>
        <v>4</v>
      </c>
      <c r="AF38" s="2">
        <f t="shared" ref="AF38:AF69" si="28">IF(DUT_DataType=1,SF_DUTGamIn,X38)</f>
        <v>0.2</v>
      </c>
      <c r="AG38" s="2">
        <f t="shared" ref="AG38:AG69" si="29">IF(DUT_DataType=1,SF_DUTGamOut,Y38)</f>
        <v>0.31622776601683794</v>
      </c>
      <c r="AH38" s="2">
        <f t="shared" ref="AH38:AH69" si="30">UseReverse*IF(DUT_DataType=1,SF_DUT_RevRatio,Z38)</f>
        <v>0</v>
      </c>
    </row>
    <row r="39" spans="1:34">
      <c r="A39" s="11">
        <v>0</v>
      </c>
      <c r="B39" s="11" t="s">
        <v>0</v>
      </c>
      <c r="C39" s="11">
        <v>0</v>
      </c>
      <c r="D39" s="11">
        <v>0</v>
      </c>
      <c r="E39" s="11">
        <v>0</v>
      </c>
      <c r="F39" s="11">
        <v>0</v>
      </c>
      <c r="G39" s="75">
        <v>0</v>
      </c>
      <c r="H39" s="2">
        <f t="shared" ref="H39:H70" si="31">IF(UPPER(TRIM(B39))="MHZ",0.001,IF((UPPER(TRIM(B39)))="GHZ",1,IF(UPPER(TRIM(B39))="KHZ",0.000001,0.000000001)))</f>
        <v>1.0000000000000001E-9</v>
      </c>
      <c r="I39" s="2">
        <f t="shared" si="21"/>
        <v>1000</v>
      </c>
      <c r="J39" s="2">
        <f t="shared" si="13"/>
        <v>996</v>
      </c>
      <c r="K39" s="2">
        <f t="shared" si="14"/>
        <v>0</v>
      </c>
      <c r="L39" s="2">
        <f t="shared" si="22"/>
        <v>0</v>
      </c>
      <c r="M39" s="2">
        <f t="shared" si="23"/>
        <v>0</v>
      </c>
      <c r="N39" s="2">
        <f t="shared" si="24"/>
        <v>0</v>
      </c>
      <c r="O39" s="2">
        <f t="shared" si="25"/>
        <v>0</v>
      </c>
      <c r="P39" s="2">
        <f t="shared" si="6"/>
        <v>0</v>
      </c>
      <c r="S39" s="2">
        <f t="shared" si="19"/>
        <v>34</v>
      </c>
      <c r="T39" s="2">
        <f t="shared" si="20"/>
        <v>17.524000000000008</v>
      </c>
      <c r="U39" s="2">
        <f t="shared" si="16"/>
        <v>17.524000000000008</v>
      </c>
      <c r="V39" s="2">
        <v>20.8</v>
      </c>
      <c r="W39" s="2">
        <v>4</v>
      </c>
      <c r="X39" s="2">
        <v>0.4</v>
      </c>
      <c r="Y39" s="2">
        <v>0.28000000000000003</v>
      </c>
      <c r="Z39" s="2">
        <v>0.3</v>
      </c>
      <c r="AB39" s="2">
        <f t="shared" si="17"/>
        <v>17.524000000000008</v>
      </c>
      <c r="AC39" s="2">
        <f t="shared" si="18"/>
        <v>17.524000000000008</v>
      </c>
      <c r="AD39" s="2">
        <f t="shared" si="26"/>
        <v>20</v>
      </c>
      <c r="AE39" s="2">
        <f t="shared" si="27"/>
        <v>4</v>
      </c>
      <c r="AF39" s="2">
        <f t="shared" si="28"/>
        <v>0.2</v>
      </c>
      <c r="AG39" s="2">
        <f t="shared" si="29"/>
        <v>0.31622776601683794</v>
      </c>
      <c r="AH39" s="2">
        <f t="shared" si="30"/>
        <v>0</v>
      </c>
    </row>
    <row r="40" spans="1:34">
      <c r="A40" s="11">
        <v>0</v>
      </c>
      <c r="B40" s="11" t="s">
        <v>0</v>
      </c>
      <c r="C40" s="11">
        <v>0</v>
      </c>
      <c r="D40" s="11">
        <v>0</v>
      </c>
      <c r="E40" s="11">
        <v>0</v>
      </c>
      <c r="F40" s="11">
        <v>0</v>
      </c>
      <c r="G40" s="75">
        <v>0</v>
      </c>
      <c r="H40" s="2">
        <f t="shared" si="31"/>
        <v>1.0000000000000001E-9</v>
      </c>
      <c r="I40" s="2">
        <f t="shared" si="21"/>
        <v>1000</v>
      </c>
      <c r="J40" s="2">
        <f t="shared" si="13"/>
        <v>996</v>
      </c>
      <c r="K40" s="2">
        <f t="shared" si="14"/>
        <v>0</v>
      </c>
      <c r="L40" s="2">
        <f t="shared" si="22"/>
        <v>0</v>
      </c>
      <c r="M40" s="2">
        <f t="shared" si="23"/>
        <v>0</v>
      </c>
      <c r="N40" s="2">
        <f t="shared" si="24"/>
        <v>0</v>
      </c>
      <c r="O40" s="2">
        <f t="shared" si="25"/>
        <v>0</v>
      </c>
      <c r="P40" s="2">
        <f t="shared" si="6"/>
        <v>0</v>
      </c>
      <c r="S40" s="2">
        <f t="shared" si="19"/>
        <v>35</v>
      </c>
      <c r="T40" s="2">
        <f t="shared" si="20"/>
        <v>18.052000000000007</v>
      </c>
      <c r="U40" s="2">
        <f t="shared" si="16"/>
        <v>18.052000000000007</v>
      </c>
      <c r="V40" s="2">
        <v>20.8</v>
      </c>
      <c r="W40" s="2">
        <v>4</v>
      </c>
      <c r="X40" s="2">
        <v>0.4</v>
      </c>
      <c r="Y40" s="2">
        <v>0.28000000000000003</v>
      </c>
      <c r="Z40" s="2">
        <v>0.3</v>
      </c>
      <c r="AB40" s="2">
        <f t="shared" si="17"/>
        <v>18.052000000000007</v>
      </c>
      <c r="AC40" s="2">
        <f t="shared" si="18"/>
        <v>18.052000000000007</v>
      </c>
      <c r="AD40" s="2">
        <f t="shared" si="26"/>
        <v>20</v>
      </c>
      <c r="AE40" s="2">
        <f t="shared" si="27"/>
        <v>4</v>
      </c>
      <c r="AF40" s="2">
        <f t="shared" si="28"/>
        <v>0.2</v>
      </c>
      <c r="AG40" s="2">
        <f t="shared" si="29"/>
        <v>0.31622776601683794</v>
      </c>
      <c r="AH40" s="2">
        <f t="shared" si="30"/>
        <v>0</v>
      </c>
    </row>
    <row r="41" spans="1:34">
      <c r="A41" s="11">
        <v>0</v>
      </c>
      <c r="B41" s="11" t="s">
        <v>0</v>
      </c>
      <c r="C41" s="11">
        <v>0</v>
      </c>
      <c r="D41" s="11">
        <v>0</v>
      </c>
      <c r="E41" s="11">
        <v>0</v>
      </c>
      <c r="F41" s="11">
        <v>0</v>
      </c>
      <c r="G41" s="75">
        <v>0</v>
      </c>
      <c r="H41" s="2">
        <f t="shared" si="31"/>
        <v>1.0000000000000001E-9</v>
      </c>
      <c r="I41" s="2">
        <f t="shared" si="21"/>
        <v>1000</v>
      </c>
      <c r="J41" s="2">
        <f t="shared" si="13"/>
        <v>996</v>
      </c>
      <c r="K41" s="2">
        <f t="shared" si="14"/>
        <v>0</v>
      </c>
      <c r="L41" s="2">
        <f t="shared" si="22"/>
        <v>0</v>
      </c>
      <c r="M41" s="2">
        <f t="shared" si="23"/>
        <v>0</v>
      </c>
      <c r="N41" s="2">
        <f t="shared" si="24"/>
        <v>0</v>
      </c>
      <c r="O41" s="2">
        <f t="shared" si="25"/>
        <v>0</v>
      </c>
      <c r="P41" s="2">
        <f t="shared" si="6"/>
        <v>0</v>
      </c>
      <c r="S41" s="2">
        <f t="shared" si="19"/>
        <v>36</v>
      </c>
      <c r="T41" s="2">
        <f t="shared" si="20"/>
        <v>18.580000000000005</v>
      </c>
      <c r="U41" s="2">
        <f t="shared" si="16"/>
        <v>18.580000000000005</v>
      </c>
      <c r="V41" s="2">
        <v>20.8</v>
      </c>
      <c r="W41" s="2">
        <v>4</v>
      </c>
      <c r="X41" s="2">
        <v>0.4</v>
      </c>
      <c r="Y41" s="2">
        <v>0.28000000000000003</v>
      </c>
      <c r="Z41" s="2">
        <v>0.3</v>
      </c>
      <c r="AB41" s="2">
        <f t="shared" si="17"/>
        <v>18.580000000000005</v>
      </c>
      <c r="AC41" s="2">
        <f t="shared" si="18"/>
        <v>18.580000000000005</v>
      </c>
      <c r="AD41" s="2">
        <f t="shared" si="26"/>
        <v>20</v>
      </c>
      <c r="AE41" s="2">
        <f t="shared" si="27"/>
        <v>4</v>
      </c>
      <c r="AF41" s="2">
        <f t="shared" si="28"/>
        <v>0.2</v>
      </c>
      <c r="AG41" s="2">
        <f t="shared" si="29"/>
        <v>0.31622776601683794</v>
      </c>
      <c r="AH41" s="2">
        <f t="shared" si="30"/>
        <v>0</v>
      </c>
    </row>
    <row r="42" spans="1:34">
      <c r="A42" s="11">
        <v>0</v>
      </c>
      <c r="B42" s="11" t="s">
        <v>0</v>
      </c>
      <c r="C42" s="11">
        <v>0</v>
      </c>
      <c r="D42" s="11">
        <v>0</v>
      </c>
      <c r="E42" s="11">
        <v>0</v>
      </c>
      <c r="F42" s="11">
        <v>0</v>
      </c>
      <c r="G42" s="75">
        <v>0</v>
      </c>
      <c r="H42" s="2">
        <f t="shared" si="31"/>
        <v>1.0000000000000001E-9</v>
      </c>
      <c r="I42" s="2">
        <f t="shared" si="21"/>
        <v>1000</v>
      </c>
      <c r="J42" s="2">
        <f t="shared" si="13"/>
        <v>996</v>
      </c>
      <c r="K42" s="2">
        <f t="shared" si="14"/>
        <v>0</v>
      </c>
      <c r="L42" s="2">
        <f t="shared" si="22"/>
        <v>0</v>
      </c>
      <c r="M42" s="2">
        <f t="shared" si="23"/>
        <v>0</v>
      </c>
      <c r="N42" s="2">
        <f t="shared" si="24"/>
        <v>0</v>
      </c>
      <c r="O42" s="2">
        <f t="shared" si="25"/>
        <v>0</v>
      </c>
      <c r="P42" s="2">
        <f t="shared" si="6"/>
        <v>0</v>
      </c>
      <c r="S42" s="2">
        <f t="shared" si="19"/>
        <v>37</v>
      </c>
      <c r="T42" s="2">
        <f t="shared" si="20"/>
        <v>19.108000000000004</v>
      </c>
      <c r="U42" s="2">
        <f t="shared" si="16"/>
        <v>19.108000000000004</v>
      </c>
      <c r="V42" s="2">
        <v>20.8</v>
      </c>
      <c r="W42" s="2">
        <v>4</v>
      </c>
      <c r="X42" s="2">
        <v>0.4</v>
      </c>
      <c r="Y42" s="2">
        <v>0.28000000000000003</v>
      </c>
      <c r="Z42" s="2">
        <v>0.3</v>
      </c>
      <c r="AB42" s="2">
        <f t="shared" si="17"/>
        <v>19.108000000000004</v>
      </c>
      <c r="AC42" s="2">
        <f t="shared" si="18"/>
        <v>19.108000000000004</v>
      </c>
      <c r="AD42" s="2">
        <f t="shared" si="26"/>
        <v>20</v>
      </c>
      <c r="AE42" s="2">
        <f t="shared" si="27"/>
        <v>4</v>
      </c>
      <c r="AF42" s="2">
        <f t="shared" si="28"/>
        <v>0.2</v>
      </c>
      <c r="AG42" s="2">
        <f t="shared" si="29"/>
        <v>0.31622776601683794</v>
      </c>
      <c r="AH42" s="2">
        <f t="shared" si="30"/>
        <v>0</v>
      </c>
    </row>
    <row r="43" spans="1:34">
      <c r="A43" s="11">
        <v>0</v>
      </c>
      <c r="B43" s="11" t="s">
        <v>0</v>
      </c>
      <c r="C43" s="11">
        <v>0</v>
      </c>
      <c r="D43" s="11">
        <v>0</v>
      </c>
      <c r="E43" s="11">
        <v>0</v>
      </c>
      <c r="F43" s="11">
        <v>0</v>
      </c>
      <c r="G43" s="75">
        <v>0</v>
      </c>
      <c r="H43" s="2">
        <f t="shared" si="31"/>
        <v>1.0000000000000001E-9</v>
      </c>
      <c r="I43" s="2">
        <f t="shared" si="21"/>
        <v>1000</v>
      </c>
      <c r="J43" s="2">
        <f t="shared" si="13"/>
        <v>996</v>
      </c>
      <c r="K43" s="2">
        <f t="shared" si="14"/>
        <v>0</v>
      </c>
      <c r="L43" s="2">
        <f t="shared" si="22"/>
        <v>0</v>
      </c>
      <c r="M43" s="2">
        <f t="shared" si="23"/>
        <v>0</v>
      </c>
      <c r="N43" s="2">
        <f t="shared" si="24"/>
        <v>0</v>
      </c>
      <c r="O43" s="2">
        <f t="shared" si="25"/>
        <v>0</v>
      </c>
      <c r="P43" s="2">
        <f t="shared" si="6"/>
        <v>0</v>
      </c>
      <c r="S43" s="2">
        <f t="shared" si="19"/>
        <v>38</v>
      </c>
      <c r="T43" s="2">
        <f t="shared" si="20"/>
        <v>19.636000000000003</v>
      </c>
      <c r="U43" s="2">
        <f t="shared" si="16"/>
        <v>19.636000000000003</v>
      </c>
      <c r="V43" s="2">
        <v>20.8</v>
      </c>
      <c r="W43" s="2">
        <v>4</v>
      </c>
      <c r="X43" s="2">
        <v>0.4</v>
      </c>
      <c r="Y43" s="2">
        <v>0.28000000000000003</v>
      </c>
      <c r="Z43" s="2">
        <v>0.3</v>
      </c>
      <c r="AB43" s="2">
        <f t="shared" si="17"/>
        <v>19.636000000000003</v>
      </c>
      <c r="AC43" s="2">
        <f t="shared" si="18"/>
        <v>19.636000000000003</v>
      </c>
      <c r="AD43" s="2">
        <f t="shared" si="26"/>
        <v>20</v>
      </c>
      <c r="AE43" s="2">
        <f t="shared" si="27"/>
        <v>4</v>
      </c>
      <c r="AF43" s="2">
        <f t="shared" si="28"/>
        <v>0.2</v>
      </c>
      <c r="AG43" s="2">
        <f t="shared" si="29"/>
        <v>0.31622776601683794</v>
      </c>
      <c r="AH43" s="2">
        <f t="shared" si="30"/>
        <v>0</v>
      </c>
    </row>
    <row r="44" spans="1:34">
      <c r="A44" s="11">
        <v>0</v>
      </c>
      <c r="B44" s="11" t="s">
        <v>0</v>
      </c>
      <c r="C44" s="11">
        <v>0</v>
      </c>
      <c r="D44" s="11">
        <v>0</v>
      </c>
      <c r="E44" s="11">
        <v>0</v>
      </c>
      <c r="F44" s="11">
        <v>0</v>
      </c>
      <c r="G44" s="75">
        <v>0</v>
      </c>
      <c r="H44" s="2">
        <f t="shared" si="31"/>
        <v>1.0000000000000001E-9</v>
      </c>
      <c r="I44" s="2">
        <f t="shared" si="21"/>
        <v>1000</v>
      </c>
      <c r="J44" s="2">
        <f t="shared" si="13"/>
        <v>996</v>
      </c>
      <c r="K44" s="2">
        <f t="shared" si="14"/>
        <v>0</v>
      </c>
      <c r="L44" s="2">
        <f t="shared" si="22"/>
        <v>0</v>
      </c>
      <c r="M44" s="2">
        <f t="shared" si="23"/>
        <v>0</v>
      </c>
      <c r="N44" s="2">
        <f t="shared" si="24"/>
        <v>0</v>
      </c>
      <c r="O44" s="2">
        <f t="shared" si="25"/>
        <v>0</v>
      </c>
      <c r="P44" s="2">
        <f t="shared" si="6"/>
        <v>0</v>
      </c>
      <c r="S44" s="2">
        <f t="shared" si="19"/>
        <v>39</v>
      </c>
      <c r="T44" s="2">
        <f t="shared" si="20"/>
        <v>20.164000000000001</v>
      </c>
      <c r="U44" s="2">
        <f t="shared" si="16"/>
        <v>20.164000000000001</v>
      </c>
      <c r="V44" s="2">
        <v>20.8</v>
      </c>
      <c r="W44" s="2">
        <v>4</v>
      </c>
      <c r="X44" s="2">
        <v>0.4</v>
      </c>
      <c r="Y44" s="2">
        <v>0.28000000000000003</v>
      </c>
      <c r="Z44" s="2">
        <v>0.3</v>
      </c>
      <c r="AB44" s="2">
        <f t="shared" si="17"/>
        <v>20.164000000000001</v>
      </c>
      <c r="AC44" s="2">
        <f t="shared" si="18"/>
        <v>20.164000000000001</v>
      </c>
      <c r="AD44" s="2">
        <f t="shared" si="26"/>
        <v>20</v>
      </c>
      <c r="AE44" s="2">
        <f t="shared" si="27"/>
        <v>4</v>
      </c>
      <c r="AF44" s="2">
        <f t="shared" si="28"/>
        <v>0.2</v>
      </c>
      <c r="AG44" s="2">
        <f t="shared" si="29"/>
        <v>0.31622776601683794</v>
      </c>
      <c r="AH44" s="2">
        <f t="shared" si="30"/>
        <v>0</v>
      </c>
    </row>
    <row r="45" spans="1:34">
      <c r="A45" s="11">
        <v>0</v>
      </c>
      <c r="B45" s="11" t="s">
        <v>0</v>
      </c>
      <c r="C45" s="11">
        <v>0</v>
      </c>
      <c r="D45" s="11">
        <v>0</v>
      </c>
      <c r="E45" s="11">
        <v>0</v>
      </c>
      <c r="F45" s="11">
        <v>0</v>
      </c>
      <c r="G45" s="75">
        <v>0</v>
      </c>
      <c r="H45" s="2">
        <f t="shared" si="31"/>
        <v>1.0000000000000001E-9</v>
      </c>
      <c r="I45" s="2">
        <f t="shared" si="21"/>
        <v>1000</v>
      </c>
      <c r="J45" s="2">
        <f t="shared" si="13"/>
        <v>996</v>
      </c>
      <c r="K45" s="2">
        <f t="shared" si="14"/>
        <v>0</v>
      </c>
      <c r="L45" s="2">
        <f t="shared" si="22"/>
        <v>0</v>
      </c>
      <c r="M45" s="2">
        <f t="shared" si="23"/>
        <v>0</v>
      </c>
      <c r="N45" s="2">
        <f t="shared" si="24"/>
        <v>0</v>
      </c>
      <c r="O45" s="2">
        <f t="shared" si="25"/>
        <v>0</v>
      </c>
      <c r="P45" s="2">
        <f t="shared" si="6"/>
        <v>0</v>
      </c>
      <c r="S45" s="2">
        <f t="shared" si="19"/>
        <v>40</v>
      </c>
      <c r="T45" s="2">
        <f t="shared" si="20"/>
        <v>20.692</v>
      </c>
      <c r="U45" s="2">
        <f t="shared" si="16"/>
        <v>20.692</v>
      </c>
      <c r="V45" s="2">
        <v>20.8</v>
      </c>
      <c r="W45" s="2">
        <v>4</v>
      </c>
      <c r="X45" s="2">
        <v>0.4</v>
      </c>
      <c r="Y45" s="2">
        <v>0.28000000000000003</v>
      </c>
      <c r="Z45" s="2">
        <v>0.3</v>
      </c>
      <c r="AB45" s="2">
        <f t="shared" si="17"/>
        <v>20.692</v>
      </c>
      <c r="AC45" s="2">
        <f t="shared" si="18"/>
        <v>20.692</v>
      </c>
      <c r="AD45" s="2">
        <f t="shared" si="26"/>
        <v>20</v>
      </c>
      <c r="AE45" s="2">
        <f t="shared" si="27"/>
        <v>4</v>
      </c>
      <c r="AF45" s="2">
        <f t="shared" si="28"/>
        <v>0.2</v>
      </c>
      <c r="AG45" s="2">
        <f t="shared" si="29"/>
        <v>0.31622776601683794</v>
      </c>
      <c r="AH45" s="2">
        <f t="shared" si="30"/>
        <v>0</v>
      </c>
    </row>
    <row r="46" spans="1:34">
      <c r="A46" s="11">
        <v>0</v>
      </c>
      <c r="B46" s="11" t="s">
        <v>0</v>
      </c>
      <c r="C46" s="11">
        <v>0</v>
      </c>
      <c r="D46" s="11">
        <v>0</v>
      </c>
      <c r="E46" s="11">
        <v>0</v>
      </c>
      <c r="F46" s="11">
        <v>0</v>
      </c>
      <c r="G46" s="75">
        <v>0</v>
      </c>
      <c r="H46" s="2">
        <f t="shared" si="31"/>
        <v>1.0000000000000001E-9</v>
      </c>
      <c r="I46" s="2">
        <f t="shared" si="21"/>
        <v>1000</v>
      </c>
      <c r="J46" s="2">
        <f t="shared" si="13"/>
        <v>996</v>
      </c>
      <c r="K46" s="2">
        <f t="shared" si="14"/>
        <v>0</v>
      </c>
      <c r="L46" s="2">
        <f t="shared" si="22"/>
        <v>0</v>
      </c>
      <c r="M46" s="2">
        <f t="shared" si="23"/>
        <v>0</v>
      </c>
      <c r="N46" s="2">
        <f t="shared" si="24"/>
        <v>0</v>
      </c>
      <c r="O46" s="2">
        <f t="shared" si="25"/>
        <v>0</v>
      </c>
      <c r="P46" s="2">
        <f t="shared" si="6"/>
        <v>0</v>
      </c>
      <c r="S46" s="2">
        <f t="shared" si="19"/>
        <v>41</v>
      </c>
      <c r="T46" s="2">
        <f t="shared" si="20"/>
        <v>21.22</v>
      </c>
      <c r="U46" s="2">
        <f t="shared" si="16"/>
        <v>21.22</v>
      </c>
      <c r="V46" s="2">
        <v>20.8</v>
      </c>
      <c r="W46" s="2">
        <v>4</v>
      </c>
      <c r="X46" s="2">
        <v>0.4</v>
      </c>
      <c r="Y46" s="2">
        <v>0.28000000000000003</v>
      </c>
      <c r="Z46" s="2">
        <v>0.3</v>
      </c>
      <c r="AB46" s="2">
        <f t="shared" si="17"/>
        <v>21.22</v>
      </c>
      <c r="AC46" s="2">
        <f t="shared" si="18"/>
        <v>21.22</v>
      </c>
      <c r="AD46" s="2">
        <f t="shared" si="26"/>
        <v>20</v>
      </c>
      <c r="AE46" s="2">
        <f t="shared" si="27"/>
        <v>4</v>
      </c>
      <c r="AF46" s="2">
        <f t="shared" si="28"/>
        <v>0.2</v>
      </c>
      <c r="AG46" s="2">
        <f t="shared" si="29"/>
        <v>0.31622776601683794</v>
      </c>
      <c r="AH46" s="2">
        <f t="shared" si="30"/>
        <v>0</v>
      </c>
    </row>
    <row r="47" spans="1:34">
      <c r="A47" s="11">
        <v>0</v>
      </c>
      <c r="B47" s="11" t="s">
        <v>0</v>
      </c>
      <c r="C47" s="11">
        <v>0</v>
      </c>
      <c r="D47" s="11">
        <v>0</v>
      </c>
      <c r="E47" s="11">
        <v>0</v>
      </c>
      <c r="F47" s="11">
        <v>0</v>
      </c>
      <c r="G47" s="75">
        <v>0</v>
      </c>
      <c r="H47" s="2">
        <f t="shared" si="31"/>
        <v>1.0000000000000001E-9</v>
      </c>
      <c r="I47" s="2">
        <f t="shared" si="21"/>
        <v>1000</v>
      </c>
      <c r="J47" s="2">
        <f t="shared" si="13"/>
        <v>996</v>
      </c>
      <c r="K47" s="2">
        <f t="shared" si="14"/>
        <v>0</v>
      </c>
      <c r="L47" s="2">
        <f t="shared" si="22"/>
        <v>0</v>
      </c>
      <c r="M47" s="2">
        <f t="shared" si="23"/>
        <v>0</v>
      </c>
      <c r="N47" s="2">
        <f t="shared" si="24"/>
        <v>0</v>
      </c>
      <c r="O47" s="2">
        <f t="shared" si="25"/>
        <v>0</v>
      </c>
      <c r="P47" s="2">
        <f t="shared" si="6"/>
        <v>0</v>
      </c>
      <c r="S47" s="2">
        <f t="shared" si="19"/>
        <v>42</v>
      </c>
      <c r="T47" s="2">
        <f t="shared" si="20"/>
        <v>21.747999999999998</v>
      </c>
      <c r="U47" s="2">
        <f t="shared" si="16"/>
        <v>21.747999999999998</v>
      </c>
      <c r="V47" s="2">
        <v>20.8</v>
      </c>
      <c r="W47" s="2">
        <v>4</v>
      </c>
      <c r="X47" s="2">
        <v>0.4</v>
      </c>
      <c r="Y47" s="2">
        <v>0.28000000000000003</v>
      </c>
      <c r="Z47" s="2">
        <v>0.3</v>
      </c>
      <c r="AB47" s="2">
        <f t="shared" si="17"/>
        <v>21.747999999999998</v>
      </c>
      <c r="AC47" s="2">
        <f t="shared" si="18"/>
        <v>21.747999999999998</v>
      </c>
      <c r="AD47" s="2">
        <f t="shared" si="26"/>
        <v>20</v>
      </c>
      <c r="AE47" s="2">
        <f t="shared" si="27"/>
        <v>4</v>
      </c>
      <c r="AF47" s="2">
        <f t="shared" si="28"/>
        <v>0.2</v>
      </c>
      <c r="AG47" s="2">
        <f t="shared" si="29"/>
        <v>0.31622776601683794</v>
      </c>
      <c r="AH47" s="2">
        <f t="shared" si="30"/>
        <v>0</v>
      </c>
    </row>
    <row r="48" spans="1:34">
      <c r="A48" s="11">
        <v>0</v>
      </c>
      <c r="B48" s="11" t="s">
        <v>0</v>
      </c>
      <c r="C48" s="11">
        <v>0</v>
      </c>
      <c r="D48" s="11">
        <v>0</v>
      </c>
      <c r="E48" s="11">
        <v>0</v>
      </c>
      <c r="F48" s="11">
        <v>0</v>
      </c>
      <c r="G48" s="75">
        <v>0</v>
      </c>
      <c r="H48" s="2">
        <f t="shared" si="31"/>
        <v>1.0000000000000001E-9</v>
      </c>
      <c r="I48" s="2">
        <f t="shared" si="21"/>
        <v>1000</v>
      </c>
      <c r="J48" s="2">
        <f t="shared" si="13"/>
        <v>996</v>
      </c>
      <c r="K48" s="2">
        <f t="shared" si="14"/>
        <v>0</v>
      </c>
      <c r="L48" s="2">
        <f t="shared" si="22"/>
        <v>0</v>
      </c>
      <c r="M48" s="2">
        <f t="shared" si="23"/>
        <v>0</v>
      </c>
      <c r="N48" s="2">
        <f t="shared" si="24"/>
        <v>0</v>
      </c>
      <c r="O48" s="2">
        <f t="shared" si="25"/>
        <v>0</v>
      </c>
      <c r="P48" s="2">
        <f t="shared" si="6"/>
        <v>0</v>
      </c>
      <c r="S48" s="2">
        <f t="shared" si="19"/>
        <v>43</v>
      </c>
      <c r="T48" s="2">
        <f t="shared" si="20"/>
        <v>22.275999999999996</v>
      </c>
      <c r="U48" s="2">
        <f t="shared" si="16"/>
        <v>22.275999999999996</v>
      </c>
      <c r="V48" s="2">
        <v>23</v>
      </c>
      <c r="W48" s="2">
        <v>5</v>
      </c>
      <c r="X48" s="2">
        <v>0.4</v>
      </c>
      <c r="Y48" s="2">
        <v>0.28000000000000003</v>
      </c>
      <c r="Z48" s="2">
        <v>0.3</v>
      </c>
      <c r="AB48" s="2">
        <f t="shared" si="17"/>
        <v>22.275999999999996</v>
      </c>
      <c r="AC48" s="2">
        <f t="shared" si="18"/>
        <v>22.275999999999996</v>
      </c>
      <c r="AD48" s="2">
        <f t="shared" si="26"/>
        <v>20</v>
      </c>
      <c r="AE48" s="2">
        <f t="shared" si="27"/>
        <v>4</v>
      </c>
      <c r="AF48" s="2">
        <f t="shared" si="28"/>
        <v>0.2</v>
      </c>
      <c r="AG48" s="2">
        <f t="shared" si="29"/>
        <v>0.31622776601683794</v>
      </c>
      <c r="AH48" s="2">
        <f t="shared" si="30"/>
        <v>0</v>
      </c>
    </row>
    <row r="49" spans="1:34">
      <c r="A49" s="11">
        <v>0</v>
      </c>
      <c r="B49" s="11" t="s">
        <v>0</v>
      </c>
      <c r="C49" s="11">
        <v>0</v>
      </c>
      <c r="D49" s="11">
        <v>0</v>
      </c>
      <c r="E49" s="11">
        <v>0</v>
      </c>
      <c r="F49" s="11">
        <v>0</v>
      </c>
      <c r="G49" s="75">
        <v>0</v>
      </c>
      <c r="H49" s="2">
        <f t="shared" si="31"/>
        <v>1.0000000000000001E-9</v>
      </c>
      <c r="I49" s="2">
        <f t="shared" si="21"/>
        <v>1000</v>
      </c>
      <c r="J49" s="2">
        <f t="shared" si="13"/>
        <v>996</v>
      </c>
      <c r="K49" s="2">
        <f t="shared" si="14"/>
        <v>0</v>
      </c>
      <c r="L49" s="2">
        <f t="shared" si="22"/>
        <v>0</v>
      </c>
      <c r="M49" s="2">
        <f t="shared" si="23"/>
        <v>0</v>
      </c>
      <c r="N49" s="2">
        <f t="shared" si="24"/>
        <v>0</v>
      </c>
      <c r="O49" s="2">
        <f t="shared" si="25"/>
        <v>0</v>
      </c>
      <c r="P49" s="2">
        <f t="shared" si="6"/>
        <v>0</v>
      </c>
      <c r="S49" s="2">
        <f t="shared" si="19"/>
        <v>44</v>
      </c>
      <c r="T49" s="2">
        <f t="shared" si="20"/>
        <v>22.803999999999995</v>
      </c>
      <c r="U49" s="2">
        <f t="shared" si="16"/>
        <v>22.803999999999995</v>
      </c>
      <c r="V49" s="2">
        <v>23</v>
      </c>
      <c r="W49" s="2">
        <v>5</v>
      </c>
      <c r="X49" s="2">
        <v>0.4</v>
      </c>
      <c r="Y49" s="2">
        <v>0.28000000000000003</v>
      </c>
      <c r="Z49" s="2">
        <v>0.3</v>
      </c>
      <c r="AB49" s="2">
        <f t="shared" si="17"/>
        <v>22.803999999999995</v>
      </c>
      <c r="AC49" s="2">
        <f t="shared" si="18"/>
        <v>22.803999999999995</v>
      </c>
      <c r="AD49" s="2">
        <f t="shared" si="26"/>
        <v>20</v>
      </c>
      <c r="AE49" s="2">
        <f t="shared" si="27"/>
        <v>4</v>
      </c>
      <c r="AF49" s="2">
        <f t="shared" si="28"/>
        <v>0.2</v>
      </c>
      <c r="AG49" s="2">
        <f t="shared" si="29"/>
        <v>0.31622776601683794</v>
      </c>
      <c r="AH49" s="2">
        <f t="shared" si="30"/>
        <v>0</v>
      </c>
    </row>
    <row r="50" spans="1:34">
      <c r="A50" s="11">
        <v>0</v>
      </c>
      <c r="B50" s="11" t="s">
        <v>0</v>
      </c>
      <c r="C50" s="11">
        <v>0</v>
      </c>
      <c r="D50" s="11">
        <v>0</v>
      </c>
      <c r="E50" s="11">
        <v>0</v>
      </c>
      <c r="F50" s="11">
        <v>0</v>
      </c>
      <c r="G50" s="75">
        <v>0</v>
      </c>
      <c r="H50" s="2">
        <f t="shared" si="31"/>
        <v>1.0000000000000001E-9</v>
      </c>
      <c r="I50" s="2">
        <f t="shared" si="21"/>
        <v>1000</v>
      </c>
      <c r="J50" s="2">
        <f t="shared" si="13"/>
        <v>996</v>
      </c>
      <c r="K50" s="2">
        <f t="shared" si="14"/>
        <v>0</v>
      </c>
      <c r="L50" s="2">
        <f t="shared" si="22"/>
        <v>0</v>
      </c>
      <c r="M50" s="2">
        <f t="shared" si="23"/>
        <v>0</v>
      </c>
      <c r="N50" s="2">
        <f t="shared" si="24"/>
        <v>0</v>
      </c>
      <c r="O50" s="2">
        <f t="shared" si="25"/>
        <v>0</v>
      </c>
      <c r="P50" s="2">
        <f t="shared" si="6"/>
        <v>0</v>
      </c>
      <c r="S50" s="2">
        <f t="shared" si="19"/>
        <v>45</v>
      </c>
      <c r="T50" s="2">
        <f t="shared" si="20"/>
        <v>23.331999999999994</v>
      </c>
      <c r="U50" s="2">
        <f t="shared" si="16"/>
        <v>23.331999999999994</v>
      </c>
      <c r="V50" s="2">
        <v>23</v>
      </c>
      <c r="W50" s="2">
        <v>5</v>
      </c>
      <c r="X50" s="2">
        <v>0.4</v>
      </c>
      <c r="Y50" s="2">
        <v>0.28000000000000003</v>
      </c>
      <c r="Z50" s="2">
        <v>0.3</v>
      </c>
      <c r="AB50" s="2">
        <f t="shared" si="17"/>
        <v>23.331999999999994</v>
      </c>
      <c r="AC50" s="2">
        <f t="shared" si="18"/>
        <v>23.331999999999994</v>
      </c>
      <c r="AD50" s="2">
        <f t="shared" si="26"/>
        <v>20</v>
      </c>
      <c r="AE50" s="2">
        <f t="shared" si="27"/>
        <v>4</v>
      </c>
      <c r="AF50" s="2">
        <f t="shared" si="28"/>
        <v>0.2</v>
      </c>
      <c r="AG50" s="2">
        <f t="shared" si="29"/>
        <v>0.31622776601683794</v>
      </c>
      <c r="AH50" s="2">
        <f t="shared" si="30"/>
        <v>0</v>
      </c>
    </row>
    <row r="51" spans="1:34">
      <c r="A51" s="11">
        <v>0</v>
      </c>
      <c r="B51" s="11" t="s">
        <v>0</v>
      </c>
      <c r="C51" s="11">
        <v>0</v>
      </c>
      <c r="D51" s="11">
        <v>0</v>
      </c>
      <c r="E51" s="11">
        <v>0</v>
      </c>
      <c r="F51" s="11">
        <v>0</v>
      </c>
      <c r="G51" s="75">
        <v>0</v>
      </c>
      <c r="H51" s="2">
        <f t="shared" si="31"/>
        <v>1.0000000000000001E-9</v>
      </c>
      <c r="I51" s="2">
        <f t="shared" si="21"/>
        <v>1000</v>
      </c>
      <c r="J51" s="2">
        <f t="shared" si="13"/>
        <v>996</v>
      </c>
      <c r="K51" s="2">
        <f t="shared" si="14"/>
        <v>0</v>
      </c>
      <c r="L51" s="2">
        <f t="shared" si="22"/>
        <v>0</v>
      </c>
      <c r="M51" s="2">
        <f t="shared" si="23"/>
        <v>0</v>
      </c>
      <c r="N51" s="2">
        <f t="shared" si="24"/>
        <v>0</v>
      </c>
      <c r="O51" s="2">
        <f t="shared" si="25"/>
        <v>0</v>
      </c>
      <c r="P51" s="2">
        <f t="shared" si="6"/>
        <v>0</v>
      </c>
      <c r="S51" s="2">
        <f t="shared" si="19"/>
        <v>46</v>
      </c>
      <c r="T51" s="2">
        <f t="shared" si="20"/>
        <v>23.859999999999992</v>
      </c>
      <c r="U51" s="2">
        <f t="shared" si="16"/>
        <v>23.859999999999992</v>
      </c>
      <c r="V51" s="2">
        <v>23</v>
      </c>
      <c r="W51" s="2">
        <v>5</v>
      </c>
      <c r="X51" s="2">
        <v>0.4</v>
      </c>
      <c r="Y51" s="2">
        <v>0.28000000000000003</v>
      </c>
      <c r="Z51" s="2">
        <v>0.3</v>
      </c>
      <c r="AB51" s="2">
        <f t="shared" si="17"/>
        <v>23.859999999999992</v>
      </c>
      <c r="AC51" s="2">
        <f t="shared" si="18"/>
        <v>23.859999999999992</v>
      </c>
      <c r="AD51" s="2">
        <f t="shared" si="26"/>
        <v>20</v>
      </c>
      <c r="AE51" s="2">
        <f t="shared" si="27"/>
        <v>4</v>
      </c>
      <c r="AF51" s="2">
        <f t="shared" si="28"/>
        <v>0.2</v>
      </c>
      <c r="AG51" s="2">
        <f t="shared" si="29"/>
        <v>0.31622776601683794</v>
      </c>
      <c r="AH51" s="2">
        <f t="shared" si="30"/>
        <v>0</v>
      </c>
    </row>
    <row r="52" spans="1:34">
      <c r="A52" s="11">
        <v>0</v>
      </c>
      <c r="B52" s="11" t="s">
        <v>0</v>
      </c>
      <c r="C52" s="11">
        <v>0</v>
      </c>
      <c r="D52" s="11">
        <v>0</v>
      </c>
      <c r="E52" s="11">
        <v>0</v>
      </c>
      <c r="F52" s="11">
        <v>0</v>
      </c>
      <c r="G52" s="75">
        <v>0</v>
      </c>
      <c r="H52" s="2">
        <f t="shared" si="31"/>
        <v>1.0000000000000001E-9</v>
      </c>
      <c r="I52" s="2">
        <f t="shared" si="21"/>
        <v>1000</v>
      </c>
      <c r="J52" s="2">
        <f t="shared" si="13"/>
        <v>996</v>
      </c>
      <c r="K52" s="2">
        <f t="shared" si="14"/>
        <v>0</v>
      </c>
      <c r="L52" s="2">
        <f t="shared" si="22"/>
        <v>0</v>
      </c>
      <c r="M52" s="2">
        <f t="shared" si="23"/>
        <v>0</v>
      </c>
      <c r="N52" s="2">
        <f t="shared" si="24"/>
        <v>0</v>
      </c>
      <c r="O52" s="2">
        <f t="shared" si="25"/>
        <v>0</v>
      </c>
      <c r="P52" s="2">
        <f t="shared" si="6"/>
        <v>0</v>
      </c>
      <c r="S52" s="2">
        <f t="shared" si="19"/>
        <v>47</v>
      </c>
      <c r="T52" s="2">
        <f t="shared" si="20"/>
        <v>24.387999999999991</v>
      </c>
      <c r="U52" s="2">
        <f t="shared" si="16"/>
        <v>24.387999999999991</v>
      </c>
      <c r="V52" s="2">
        <v>23</v>
      </c>
      <c r="W52" s="2">
        <v>5</v>
      </c>
      <c r="X52" s="2">
        <v>0.4</v>
      </c>
      <c r="Y52" s="2">
        <v>0.28000000000000003</v>
      </c>
      <c r="Z52" s="2">
        <v>0.3</v>
      </c>
      <c r="AB52" s="2">
        <f t="shared" si="17"/>
        <v>24.387999999999991</v>
      </c>
      <c r="AC52" s="2">
        <f t="shared" si="18"/>
        <v>24.387999999999991</v>
      </c>
      <c r="AD52" s="2">
        <f t="shared" si="26"/>
        <v>20</v>
      </c>
      <c r="AE52" s="2">
        <f t="shared" si="27"/>
        <v>4</v>
      </c>
      <c r="AF52" s="2">
        <f t="shared" si="28"/>
        <v>0.2</v>
      </c>
      <c r="AG52" s="2">
        <f t="shared" si="29"/>
        <v>0.31622776601683794</v>
      </c>
      <c r="AH52" s="2">
        <f t="shared" si="30"/>
        <v>0</v>
      </c>
    </row>
    <row r="53" spans="1:34">
      <c r="A53" s="11">
        <v>0</v>
      </c>
      <c r="B53" s="11" t="s">
        <v>0</v>
      </c>
      <c r="C53" s="11">
        <v>0</v>
      </c>
      <c r="D53" s="11">
        <v>0</v>
      </c>
      <c r="E53" s="11">
        <v>0</v>
      </c>
      <c r="F53" s="11">
        <v>0</v>
      </c>
      <c r="G53" s="75">
        <v>0</v>
      </c>
      <c r="H53" s="2">
        <f t="shared" si="31"/>
        <v>1.0000000000000001E-9</v>
      </c>
      <c r="I53" s="2">
        <f t="shared" si="21"/>
        <v>1000</v>
      </c>
      <c r="J53" s="2">
        <f t="shared" si="13"/>
        <v>996</v>
      </c>
      <c r="K53" s="2">
        <f t="shared" si="14"/>
        <v>0</v>
      </c>
      <c r="L53" s="2">
        <f t="shared" si="22"/>
        <v>0</v>
      </c>
      <c r="M53" s="2">
        <f t="shared" si="23"/>
        <v>0</v>
      </c>
      <c r="N53" s="2">
        <f t="shared" si="24"/>
        <v>0</v>
      </c>
      <c r="O53" s="2">
        <f t="shared" si="25"/>
        <v>0</v>
      </c>
      <c r="P53" s="2">
        <f t="shared" si="6"/>
        <v>0</v>
      </c>
      <c r="S53" s="2">
        <f t="shared" si="19"/>
        <v>48</v>
      </c>
      <c r="T53" s="2">
        <f t="shared" si="20"/>
        <v>24.91599999999999</v>
      </c>
      <c r="U53" s="2">
        <f t="shared" si="16"/>
        <v>24.91599999999999</v>
      </c>
      <c r="V53" s="2">
        <v>23</v>
      </c>
      <c r="W53" s="2">
        <v>5</v>
      </c>
      <c r="X53" s="2">
        <v>0.4</v>
      </c>
      <c r="Y53" s="2">
        <v>0.28000000000000003</v>
      </c>
      <c r="Z53" s="2">
        <v>0.3</v>
      </c>
      <c r="AB53" s="2">
        <f t="shared" si="17"/>
        <v>24.91599999999999</v>
      </c>
      <c r="AC53" s="2">
        <f t="shared" si="18"/>
        <v>24.91599999999999</v>
      </c>
      <c r="AD53" s="2">
        <f t="shared" si="26"/>
        <v>20</v>
      </c>
      <c r="AE53" s="2">
        <f t="shared" si="27"/>
        <v>4</v>
      </c>
      <c r="AF53" s="2">
        <f t="shared" si="28"/>
        <v>0.2</v>
      </c>
      <c r="AG53" s="2">
        <f t="shared" si="29"/>
        <v>0.31622776601683794</v>
      </c>
      <c r="AH53" s="2">
        <f t="shared" si="30"/>
        <v>0</v>
      </c>
    </row>
    <row r="54" spans="1:34">
      <c r="A54" s="11">
        <v>0</v>
      </c>
      <c r="B54" s="11" t="s">
        <v>0</v>
      </c>
      <c r="C54" s="11">
        <v>0</v>
      </c>
      <c r="D54" s="11">
        <v>0</v>
      </c>
      <c r="E54" s="11">
        <v>0</v>
      </c>
      <c r="F54" s="11">
        <v>0</v>
      </c>
      <c r="G54" s="75">
        <v>0</v>
      </c>
      <c r="H54" s="2">
        <f t="shared" si="31"/>
        <v>1.0000000000000001E-9</v>
      </c>
      <c r="I54" s="2">
        <f t="shared" si="21"/>
        <v>1000</v>
      </c>
      <c r="J54" s="2">
        <f t="shared" si="13"/>
        <v>996</v>
      </c>
      <c r="K54" s="2">
        <f t="shared" si="14"/>
        <v>0</v>
      </c>
      <c r="L54" s="2">
        <f t="shared" si="22"/>
        <v>0</v>
      </c>
      <c r="M54" s="2">
        <f t="shared" si="23"/>
        <v>0</v>
      </c>
      <c r="N54" s="2">
        <f t="shared" si="24"/>
        <v>0</v>
      </c>
      <c r="O54" s="2">
        <f t="shared" si="25"/>
        <v>0</v>
      </c>
      <c r="P54" s="2">
        <f t="shared" si="6"/>
        <v>0</v>
      </c>
      <c r="S54" s="2">
        <f t="shared" si="19"/>
        <v>49</v>
      </c>
      <c r="T54" s="2">
        <f t="shared" si="20"/>
        <v>25.443999999999988</v>
      </c>
      <c r="U54" s="2">
        <f t="shared" si="16"/>
        <v>25.443999999999988</v>
      </c>
      <c r="V54" s="2">
        <v>23</v>
      </c>
      <c r="W54" s="2">
        <v>5</v>
      </c>
      <c r="X54" s="2">
        <v>0.4</v>
      </c>
      <c r="Y54" s="2">
        <v>0.28000000000000003</v>
      </c>
      <c r="Z54" s="2">
        <v>0.3</v>
      </c>
      <c r="AB54" s="2">
        <f t="shared" si="17"/>
        <v>25.443999999999988</v>
      </c>
      <c r="AC54" s="2">
        <f t="shared" si="18"/>
        <v>25.443999999999988</v>
      </c>
      <c r="AD54" s="2">
        <f t="shared" si="26"/>
        <v>20</v>
      </c>
      <c r="AE54" s="2">
        <f t="shared" si="27"/>
        <v>4</v>
      </c>
      <c r="AF54" s="2">
        <f t="shared" si="28"/>
        <v>0.2</v>
      </c>
      <c r="AG54" s="2">
        <f t="shared" si="29"/>
        <v>0.31622776601683794</v>
      </c>
      <c r="AH54" s="2">
        <f t="shared" si="30"/>
        <v>0</v>
      </c>
    </row>
    <row r="55" spans="1:34">
      <c r="A55" s="11">
        <v>0</v>
      </c>
      <c r="B55" s="11" t="s">
        <v>0</v>
      </c>
      <c r="C55" s="11">
        <v>0</v>
      </c>
      <c r="D55" s="11">
        <v>0</v>
      </c>
      <c r="E55" s="11">
        <v>0</v>
      </c>
      <c r="F55" s="11">
        <v>0</v>
      </c>
      <c r="G55" s="75">
        <v>0</v>
      </c>
      <c r="H55" s="2">
        <f t="shared" si="31"/>
        <v>1.0000000000000001E-9</v>
      </c>
      <c r="I55" s="2">
        <f t="shared" si="21"/>
        <v>1000</v>
      </c>
      <c r="J55" s="2">
        <f t="shared" si="13"/>
        <v>996</v>
      </c>
      <c r="K55" s="2">
        <f t="shared" si="14"/>
        <v>0</v>
      </c>
      <c r="L55" s="2">
        <f t="shared" si="22"/>
        <v>0</v>
      </c>
      <c r="M55" s="2">
        <f t="shared" si="23"/>
        <v>0</v>
      </c>
      <c r="N55" s="2">
        <f t="shared" si="24"/>
        <v>0</v>
      </c>
      <c r="O55" s="2">
        <f t="shared" si="25"/>
        <v>0</v>
      </c>
      <c r="P55" s="2">
        <f t="shared" si="6"/>
        <v>0</v>
      </c>
      <c r="S55" s="2">
        <f t="shared" si="19"/>
        <v>50</v>
      </c>
      <c r="T55" s="2">
        <f t="shared" si="20"/>
        <v>25.971999999999987</v>
      </c>
      <c r="U55" s="2">
        <f t="shared" si="16"/>
        <v>25.971999999999987</v>
      </c>
      <c r="V55" s="2">
        <v>23</v>
      </c>
      <c r="W55" s="2">
        <v>5</v>
      </c>
      <c r="X55" s="2">
        <v>0.4</v>
      </c>
      <c r="Y55" s="2">
        <v>0.28000000000000003</v>
      </c>
      <c r="Z55" s="2">
        <v>0.3</v>
      </c>
      <c r="AB55" s="2">
        <f t="shared" si="17"/>
        <v>25.971999999999987</v>
      </c>
      <c r="AC55" s="2">
        <f t="shared" si="18"/>
        <v>25.971999999999987</v>
      </c>
      <c r="AD55" s="2">
        <f t="shared" si="26"/>
        <v>20</v>
      </c>
      <c r="AE55" s="2">
        <f t="shared" si="27"/>
        <v>4</v>
      </c>
      <c r="AF55" s="2">
        <f t="shared" si="28"/>
        <v>0.2</v>
      </c>
      <c r="AG55" s="2">
        <f t="shared" si="29"/>
        <v>0.31622776601683794</v>
      </c>
      <c r="AH55" s="2">
        <f t="shared" si="30"/>
        <v>0</v>
      </c>
    </row>
    <row r="56" spans="1:34">
      <c r="A56" s="11">
        <v>0</v>
      </c>
      <c r="B56" s="11" t="s">
        <v>0</v>
      </c>
      <c r="C56" s="11">
        <v>0</v>
      </c>
      <c r="D56" s="11">
        <v>0</v>
      </c>
      <c r="E56" s="11">
        <v>0</v>
      </c>
      <c r="F56" s="11">
        <v>0</v>
      </c>
      <c r="G56" s="75">
        <v>0</v>
      </c>
      <c r="H56" s="2">
        <f t="shared" si="31"/>
        <v>1.0000000000000001E-9</v>
      </c>
      <c r="I56" s="2">
        <f t="shared" si="21"/>
        <v>1000</v>
      </c>
      <c r="J56" s="2">
        <f t="shared" si="13"/>
        <v>996</v>
      </c>
      <c r="K56" s="2">
        <f t="shared" si="14"/>
        <v>0</v>
      </c>
      <c r="L56" s="2">
        <f t="shared" si="22"/>
        <v>0</v>
      </c>
      <c r="M56" s="2">
        <f t="shared" si="23"/>
        <v>0</v>
      </c>
      <c r="N56" s="2">
        <f t="shared" si="24"/>
        <v>0</v>
      </c>
      <c r="O56" s="2">
        <f t="shared" si="25"/>
        <v>0</v>
      </c>
      <c r="P56" s="2">
        <f t="shared" si="6"/>
        <v>0</v>
      </c>
      <c r="S56" s="2">
        <f t="shared" si="19"/>
        <v>51</v>
      </c>
      <c r="T56" s="2">
        <f t="shared" si="20"/>
        <v>26.499999999999986</v>
      </c>
      <c r="U56" s="2">
        <f t="shared" si="16"/>
        <v>26.499999999999986</v>
      </c>
      <c r="V56" s="2">
        <v>23</v>
      </c>
      <c r="W56" s="2">
        <v>5</v>
      </c>
      <c r="X56" s="2">
        <v>0.4</v>
      </c>
      <c r="Y56" s="2">
        <v>0.28000000000000003</v>
      </c>
      <c r="Z56" s="2">
        <v>0.3</v>
      </c>
      <c r="AB56" s="2">
        <f t="shared" si="17"/>
        <v>26.499999999999986</v>
      </c>
      <c r="AC56" s="2">
        <f t="shared" si="18"/>
        <v>26.499999999999986</v>
      </c>
      <c r="AD56" s="2">
        <f t="shared" si="26"/>
        <v>20</v>
      </c>
      <c r="AE56" s="2">
        <f t="shared" si="27"/>
        <v>4</v>
      </c>
      <c r="AF56" s="2">
        <f t="shared" si="28"/>
        <v>0.2</v>
      </c>
      <c r="AG56" s="2">
        <f t="shared" si="29"/>
        <v>0.31622776601683794</v>
      </c>
      <c r="AH56" s="2">
        <f t="shared" si="30"/>
        <v>0</v>
      </c>
    </row>
    <row r="57" spans="1:34">
      <c r="A57" s="11">
        <v>0</v>
      </c>
      <c r="B57" s="11" t="s">
        <v>0</v>
      </c>
      <c r="C57" s="11">
        <v>0</v>
      </c>
      <c r="D57" s="11">
        <v>0</v>
      </c>
      <c r="E57" s="11">
        <v>0</v>
      </c>
      <c r="F57" s="11">
        <v>0</v>
      </c>
      <c r="G57" s="75">
        <v>0</v>
      </c>
      <c r="H57" s="2">
        <f t="shared" si="31"/>
        <v>1.0000000000000001E-9</v>
      </c>
      <c r="I57" s="2">
        <f t="shared" si="21"/>
        <v>1000</v>
      </c>
      <c r="J57" s="2">
        <f t="shared" si="13"/>
        <v>996</v>
      </c>
      <c r="K57" s="2">
        <f t="shared" si="14"/>
        <v>0</v>
      </c>
      <c r="L57" s="2">
        <f t="shared" si="22"/>
        <v>0</v>
      </c>
      <c r="M57" s="2">
        <f t="shared" si="23"/>
        <v>0</v>
      </c>
      <c r="N57" s="2">
        <f t="shared" si="24"/>
        <v>0</v>
      </c>
      <c r="O57" s="2">
        <f t="shared" si="25"/>
        <v>0</v>
      </c>
      <c r="P57" s="2">
        <f t="shared" si="6"/>
        <v>0</v>
      </c>
      <c r="S57" s="2">
        <f t="shared" si="19"/>
        <v>52</v>
      </c>
      <c r="T57" s="2">
        <f t="shared" si="20"/>
        <v>26.5001</v>
      </c>
      <c r="U57" s="2">
        <f t="shared" si="16"/>
        <v>26.5001</v>
      </c>
      <c r="V57" s="2">
        <v>23</v>
      </c>
      <c r="W57" s="2">
        <v>5</v>
      </c>
      <c r="X57" s="2">
        <v>0.4</v>
      </c>
      <c r="Y57" s="2">
        <v>0.28000000000000003</v>
      </c>
      <c r="Z57" s="2">
        <v>0.3</v>
      </c>
      <c r="AB57" s="2">
        <f t="shared" si="17"/>
        <v>26.5001</v>
      </c>
      <c r="AC57" s="2">
        <f t="shared" si="18"/>
        <v>26.5001</v>
      </c>
      <c r="AD57" s="2">
        <f t="shared" si="26"/>
        <v>20</v>
      </c>
      <c r="AE57" s="2">
        <f t="shared" si="27"/>
        <v>4</v>
      </c>
      <c r="AF57" s="2">
        <f t="shared" si="28"/>
        <v>0.2</v>
      </c>
      <c r="AG57" s="2">
        <f t="shared" si="29"/>
        <v>0.31622776601683794</v>
      </c>
      <c r="AH57" s="2">
        <f t="shared" si="30"/>
        <v>0</v>
      </c>
    </row>
    <row r="58" spans="1:34">
      <c r="A58" s="11">
        <v>0</v>
      </c>
      <c r="B58" s="11" t="s">
        <v>0</v>
      </c>
      <c r="C58" s="11">
        <v>0</v>
      </c>
      <c r="D58" s="11">
        <v>0</v>
      </c>
      <c r="E58" s="11">
        <v>0</v>
      </c>
      <c r="F58" s="11">
        <v>0</v>
      </c>
      <c r="G58" s="75">
        <v>0</v>
      </c>
      <c r="H58" s="2">
        <f t="shared" si="31"/>
        <v>1.0000000000000001E-9</v>
      </c>
      <c r="I58" s="2">
        <f t="shared" si="21"/>
        <v>1000</v>
      </c>
      <c r="J58" s="2">
        <f t="shared" si="13"/>
        <v>996</v>
      </c>
      <c r="K58" s="2">
        <f t="shared" si="14"/>
        <v>0</v>
      </c>
      <c r="L58" s="2">
        <f t="shared" si="22"/>
        <v>0</v>
      </c>
      <c r="M58" s="2">
        <f t="shared" si="23"/>
        <v>0</v>
      </c>
      <c r="N58" s="2">
        <f t="shared" si="24"/>
        <v>0</v>
      </c>
      <c r="O58" s="2">
        <f t="shared" si="25"/>
        <v>0</v>
      </c>
      <c r="P58" s="2">
        <f t="shared" si="6"/>
        <v>0</v>
      </c>
      <c r="S58" s="2">
        <f t="shared" si="19"/>
        <v>53</v>
      </c>
      <c r="T58" s="2">
        <f t="shared" si="20"/>
        <v>26.5001</v>
      </c>
      <c r="U58" s="2">
        <f t="shared" si="16"/>
        <v>26.5001</v>
      </c>
      <c r="V58" s="2">
        <v>23</v>
      </c>
      <c r="W58" s="2">
        <v>5</v>
      </c>
      <c r="X58" s="2">
        <v>0.4</v>
      </c>
      <c r="Y58" s="2">
        <v>0.28000000000000003</v>
      </c>
      <c r="Z58" s="2">
        <v>0.3</v>
      </c>
      <c r="AB58" s="2">
        <f t="shared" si="17"/>
        <v>26.5001</v>
      </c>
      <c r="AC58" s="2">
        <f t="shared" si="18"/>
        <v>26.5001</v>
      </c>
      <c r="AD58" s="2">
        <f t="shared" si="26"/>
        <v>20</v>
      </c>
      <c r="AE58" s="2">
        <f t="shared" si="27"/>
        <v>4</v>
      </c>
      <c r="AF58" s="2">
        <f t="shared" si="28"/>
        <v>0.2</v>
      </c>
      <c r="AG58" s="2">
        <f t="shared" si="29"/>
        <v>0.31622776601683794</v>
      </c>
      <c r="AH58" s="2">
        <f t="shared" si="30"/>
        <v>0</v>
      </c>
    </row>
    <row r="59" spans="1:34">
      <c r="A59" s="11">
        <v>0</v>
      </c>
      <c r="B59" s="11" t="s">
        <v>0</v>
      </c>
      <c r="C59" s="11">
        <v>0</v>
      </c>
      <c r="D59" s="11">
        <v>0</v>
      </c>
      <c r="E59" s="11">
        <v>0</v>
      </c>
      <c r="F59" s="11">
        <v>0</v>
      </c>
      <c r="G59" s="75">
        <v>0</v>
      </c>
      <c r="H59" s="2">
        <f t="shared" si="31"/>
        <v>1.0000000000000001E-9</v>
      </c>
      <c r="I59" s="2">
        <f t="shared" si="21"/>
        <v>1000</v>
      </c>
      <c r="J59" s="2">
        <f t="shared" si="13"/>
        <v>996</v>
      </c>
      <c r="K59" s="2">
        <f t="shared" si="14"/>
        <v>0</v>
      </c>
      <c r="L59" s="2">
        <f t="shared" si="22"/>
        <v>0</v>
      </c>
      <c r="M59" s="2">
        <f t="shared" si="23"/>
        <v>0</v>
      </c>
      <c r="N59" s="2">
        <f t="shared" si="24"/>
        <v>0</v>
      </c>
      <c r="O59" s="2">
        <f t="shared" si="25"/>
        <v>0</v>
      </c>
      <c r="P59" s="2">
        <f t="shared" si="6"/>
        <v>0</v>
      </c>
      <c r="S59" s="2">
        <f t="shared" si="19"/>
        <v>54</v>
      </c>
      <c r="T59" s="2">
        <f t="shared" si="20"/>
        <v>26.5001</v>
      </c>
      <c r="U59" s="2">
        <f t="shared" si="16"/>
        <v>26.5001</v>
      </c>
      <c r="V59" s="2">
        <v>23</v>
      </c>
      <c r="W59" s="2">
        <v>5</v>
      </c>
      <c r="X59" s="2">
        <v>0.4</v>
      </c>
      <c r="Y59" s="2">
        <v>0.28000000000000003</v>
      </c>
      <c r="Z59" s="2">
        <v>0.3</v>
      </c>
      <c r="AB59" s="2">
        <f t="shared" si="17"/>
        <v>26.5001</v>
      </c>
      <c r="AC59" s="2">
        <f t="shared" si="18"/>
        <v>26.5001</v>
      </c>
      <c r="AD59" s="2">
        <f t="shared" si="26"/>
        <v>20</v>
      </c>
      <c r="AE59" s="2">
        <f t="shared" si="27"/>
        <v>4</v>
      </c>
      <c r="AF59" s="2">
        <f t="shared" si="28"/>
        <v>0.2</v>
      </c>
      <c r="AG59" s="2">
        <f t="shared" si="29"/>
        <v>0.31622776601683794</v>
      </c>
      <c r="AH59" s="2">
        <f t="shared" si="30"/>
        <v>0</v>
      </c>
    </row>
    <row r="60" spans="1:34">
      <c r="A60" s="11">
        <v>0</v>
      </c>
      <c r="B60" s="11" t="s">
        <v>0</v>
      </c>
      <c r="C60" s="11">
        <v>0</v>
      </c>
      <c r="D60" s="11">
        <v>0</v>
      </c>
      <c r="E60" s="11">
        <v>0</v>
      </c>
      <c r="F60" s="11">
        <v>0</v>
      </c>
      <c r="G60" s="75">
        <v>0</v>
      </c>
      <c r="H60" s="2">
        <f t="shared" si="31"/>
        <v>1.0000000000000001E-9</v>
      </c>
      <c r="I60" s="2">
        <f t="shared" si="21"/>
        <v>1000</v>
      </c>
      <c r="J60" s="2">
        <f t="shared" si="13"/>
        <v>996</v>
      </c>
      <c r="K60" s="2">
        <f t="shared" si="14"/>
        <v>0</v>
      </c>
      <c r="P60" s="2">
        <f t="shared" si="6"/>
        <v>0</v>
      </c>
      <c r="S60" s="2">
        <f t="shared" si="19"/>
        <v>55</v>
      </c>
      <c r="T60" s="2">
        <f t="shared" si="20"/>
        <v>26.5001</v>
      </c>
      <c r="U60" s="2">
        <f t="shared" si="16"/>
        <v>26.5001</v>
      </c>
      <c r="V60" s="2">
        <v>23</v>
      </c>
      <c r="W60" s="2">
        <v>5</v>
      </c>
      <c r="X60" s="2">
        <v>0.4</v>
      </c>
      <c r="Y60" s="2">
        <v>0.28000000000000003</v>
      </c>
      <c r="Z60" s="2">
        <v>0.3</v>
      </c>
      <c r="AB60" s="2">
        <f t="shared" si="17"/>
        <v>26.5001</v>
      </c>
      <c r="AC60" s="2">
        <f t="shared" si="18"/>
        <v>26.5001</v>
      </c>
      <c r="AD60" s="2">
        <f t="shared" si="26"/>
        <v>20</v>
      </c>
      <c r="AE60" s="2">
        <f t="shared" si="27"/>
        <v>4</v>
      </c>
      <c r="AF60" s="2">
        <f t="shared" si="28"/>
        <v>0.2</v>
      </c>
      <c r="AG60" s="2">
        <f t="shared" si="29"/>
        <v>0.31622776601683794</v>
      </c>
      <c r="AH60" s="2">
        <f t="shared" si="30"/>
        <v>0</v>
      </c>
    </row>
    <row r="61" spans="1:34">
      <c r="A61" s="11">
        <v>0</v>
      </c>
      <c r="B61" s="11" t="s">
        <v>0</v>
      </c>
      <c r="C61" s="11">
        <v>0</v>
      </c>
      <c r="D61" s="11">
        <v>0</v>
      </c>
      <c r="E61" s="11">
        <v>0</v>
      </c>
      <c r="F61" s="11">
        <v>0</v>
      </c>
      <c r="G61" s="75">
        <v>0</v>
      </c>
      <c r="H61" s="2">
        <f t="shared" si="31"/>
        <v>1.0000000000000001E-9</v>
      </c>
      <c r="I61" s="2">
        <f t="shared" si="21"/>
        <v>1000</v>
      </c>
      <c r="J61" s="2">
        <f t="shared" si="13"/>
        <v>996</v>
      </c>
      <c r="K61" s="2">
        <f t="shared" si="14"/>
        <v>0</v>
      </c>
      <c r="P61" s="2">
        <f t="shared" si="6"/>
        <v>0</v>
      </c>
      <c r="S61" s="2">
        <f t="shared" si="19"/>
        <v>56</v>
      </c>
      <c r="T61" s="2">
        <f t="shared" si="20"/>
        <v>26.5001</v>
      </c>
      <c r="U61" s="2">
        <f t="shared" si="16"/>
        <v>26.5001</v>
      </c>
      <c r="V61" s="2">
        <v>23</v>
      </c>
      <c r="W61" s="2">
        <v>5</v>
      </c>
      <c r="X61" s="2">
        <v>0.4</v>
      </c>
      <c r="Y61" s="2">
        <v>0.28000000000000003</v>
      </c>
      <c r="Z61" s="2">
        <v>0.3</v>
      </c>
      <c r="AB61" s="2">
        <f t="shared" si="17"/>
        <v>26.5001</v>
      </c>
      <c r="AC61" s="2">
        <f t="shared" si="18"/>
        <v>26.5001</v>
      </c>
      <c r="AD61" s="2">
        <f t="shared" si="26"/>
        <v>20</v>
      </c>
      <c r="AE61" s="2">
        <f t="shared" si="27"/>
        <v>4</v>
      </c>
      <c r="AF61" s="2">
        <f t="shared" si="28"/>
        <v>0.2</v>
      </c>
      <c r="AG61" s="2">
        <f t="shared" si="29"/>
        <v>0.31622776601683794</v>
      </c>
      <c r="AH61" s="2">
        <f t="shared" si="30"/>
        <v>0</v>
      </c>
    </row>
    <row r="62" spans="1:34">
      <c r="A62" s="11">
        <v>0</v>
      </c>
      <c r="B62" s="11" t="s">
        <v>0</v>
      </c>
      <c r="C62" s="11">
        <v>0</v>
      </c>
      <c r="D62" s="11">
        <v>0</v>
      </c>
      <c r="E62" s="11">
        <v>0</v>
      </c>
      <c r="F62" s="11">
        <v>0</v>
      </c>
      <c r="G62" s="75">
        <v>0</v>
      </c>
      <c r="H62" s="2">
        <f t="shared" si="31"/>
        <v>1.0000000000000001E-9</v>
      </c>
      <c r="I62" s="2">
        <f t="shared" si="21"/>
        <v>1000</v>
      </c>
      <c r="J62" s="2">
        <f t="shared" si="13"/>
        <v>996</v>
      </c>
      <c r="K62" s="2">
        <f t="shared" si="14"/>
        <v>0</v>
      </c>
      <c r="P62" s="2">
        <f t="shared" si="6"/>
        <v>0</v>
      </c>
      <c r="S62" s="2">
        <f t="shared" si="19"/>
        <v>57</v>
      </c>
      <c r="T62" s="2">
        <f t="shared" si="20"/>
        <v>26.5001</v>
      </c>
      <c r="U62" s="2">
        <f t="shared" si="16"/>
        <v>26.5001</v>
      </c>
      <c r="V62" s="2">
        <v>23</v>
      </c>
      <c r="W62" s="2">
        <v>5</v>
      </c>
      <c r="X62" s="2">
        <v>0.4</v>
      </c>
      <c r="Y62" s="2">
        <v>0.28000000000000003</v>
      </c>
      <c r="Z62" s="2">
        <v>0.3</v>
      </c>
      <c r="AB62" s="2">
        <f t="shared" si="17"/>
        <v>26.5001</v>
      </c>
      <c r="AC62" s="2">
        <f t="shared" si="18"/>
        <v>26.5001</v>
      </c>
      <c r="AD62" s="2">
        <f t="shared" si="26"/>
        <v>20</v>
      </c>
      <c r="AE62" s="2">
        <f t="shared" si="27"/>
        <v>4</v>
      </c>
      <c r="AF62" s="2">
        <f t="shared" si="28"/>
        <v>0.2</v>
      </c>
      <c r="AG62" s="2">
        <f t="shared" si="29"/>
        <v>0.31622776601683794</v>
      </c>
      <c r="AH62" s="2">
        <f t="shared" si="30"/>
        <v>0</v>
      </c>
    </row>
    <row r="63" spans="1:34">
      <c r="A63" s="11">
        <v>0</v>
      </c>
      <c r="B63" s="11" t="s">
        <v>0</v>
      </c>
      <c r="C63" s="11">
        <v>0</v>
      </c>
      <c r="D63" s="11">
        <v>0</v>
      </c>
      <c r="E63" s="11">
        <v>0</v>
      </c>
      <c r="F63" s="11">
        <v>0</v>
      </c>
      <c r="G63" s="75">
        <v>0</v>
      </c>
      <c r="H63" s="2">
        <f t="shared" si="31"/>
        <v>1.0000000000000001E-9</v>
      </c>
      <c r="I63" s="2">
        <f t="shared" si="21"/>
        <v>1000</v>
      </c>
      <c r="J63" s="2">
        <f t="shared" si="13"/>
        <v>996</v>
      </c>
      <c r="K63" s="2">
        <f t="shared" si="14"/>
        <v>0</v>
      </c>
      <c r="P63" s="2">
        <f t="shared" si="6"/>
        <v>0</v>
      </c>
      <c r="S63" s="2">
        <f t="shared" si="19"/>
        <v>58</v>
      </c>
      <c r="T63" s="2">
        <f t="shared" si="20"/>
        <v>26.5001</v>
      </c>
      <c r="U63" s="2">
        <f t="shared" si="16"/>
        <v>26.5001</v>
      </c>
      <c r="V63" s="2">
        <v>23</v>
      </c>
      <c r="W63" s="2">
        <v>5</v>
      </c>
      <c r="X63" s="2">
        <v>0.4</v>
      </c>
      <c r="Y63" s="2">
        <v>0.28000000000000003</v>
      </c>
      <c r="Z63" s="2">
        <v>0.3</v>
      </c>
      <c r="AB63" s="2">
        <f t="shared" si="17"/>
        <v>26.5001</v>
      </c>
      <c r="AC63" s="2">
        <f t="shared" si="18"/>
        <v>26.5001</v>
      </c>
      <c r="AD63" s="2">
        <f t="shared" si="26"/>
        <v>20</v>
      </c>
      <c r="AE63" s="2">
        <f t="shared" si="27"/>
        <v>4</v>
      </c>
      <c r="AF63" s="2">
        <f t="shared" si="28"/>
        <v>0.2</v>
      </c>
      <c r="AG63" s="2">
        <f t="shared" si="29"/>
        <v>0.31622776601683794</v>
      </c>
      <c r="AH63" s="2">
        <f t="shared" si="30"/>
        <v>0</v>
      </c>
    </row>
    <row r="64" spans="1:34">
      <c r="A64" s="11">
        <v>0</v>
      </c>
      <c r="B64" s="11" t="s">
        <v>0</v>
      </c>
      <c r="C64" s="11">
        <v>0</v>
      </c>
      <c r="D64" s="11">
        <v>0</v>
      </c>
      <c r="E64" s="11">
        <v>0</v>
      </c>
      <c r="F64" s="11">
        <v>0</v>
      </c>
      <c r="G64" s="75">
        <v>0</v>
      </c>
      <c r="H64" s="2">
        <f t="shared" si="31"/>
        <v>1.0000000000000001E-9</v>
      </c>
      <c r="I64" s="2">
        <f t="shared" si="21"/>
        <v>1000</v>
      </c>
      <c r="J64" s="2">
        <f t="shared" si="13"/>
        <v>996</v>
      </c>
      <c r="K64" s="2">
        <f t="shared" si="14"/>
        <v>0</v>
      </c>
      <c r="P64" s="2">
        <f t="shared" si="6"/>
        <v>0</v>
      </c>
      <c r="S64" s="2">
        <f t="shared" si="19"/>
        <v>59</v>
      </c>
      <c r="T64" s="2">
        <f t="shared" si="20"/>
        <v>26.5001</v>
      </c>
      <c r="U64" s="2">
        <f t="shared" si="16"/>
        <v>26.5001</v>
      </c>
      <c r="V64" s="2">
        <v>23</v>
      </c>
      <c r="W64" s="2">
        <v>5</v>
      </c>
      <c r="X64" s="2">
        <v>0.4</v>
      </c>
      <c r="Y64" s="2">
        <v>0.28000000000000003</v>
      </c>
      <c r="Z64" s="2">
        <v>0.3</v>
      </c>
      <c r="AB64" s="2">
        <f t="shared" si="17"/>
        <v>26.5001</v>
      </c>
      <c r="AC64" s="2">
        <f t="shared" si="18"/>
        <v>26.5001</v>
      </c>
      <c r="AD64" s="2">
        <f t="shared" si="26"/>
        <v>20</v>
      </c>
      <c r="AE64" s="2">
        <f t="shared" si="27"/>
        <v>4</v>
      </c>
      <c r="AF64" s="2">
        <f t="shared" si="28"/>
        <v>0.2</v>
      </c>
      <c r="AG64" s="2">
        <f t="shared" si="29"/>
        <v>0.31622776601683794</v>
      </c>
      <c r="AH64" s="2">
        <f t="shared" si="30"/>
        <v>0</v>
      </c>
    </row>
    <row r="65" spans="1:34">
      <c r="A65" s="11">
        <v>0</v>
      </c>
      <c r="B65" s="11" t="s">
        <v>0</v>
      </c>
      <c r="C65" s="11">
        <v>0</v>
      </c>
      <c r="D65" s="11">
        <v>0</v>
      </c>
      <c r="E65" s="11">
        <v>0</v>
      </c>
      <c r="F65" s="11">
        <v>0</v>
      </c>
      <c r="G65" s="75">
        <v>0</v>
      </c>
      <c r="H65" s="2">
        <f t="shared" si="31"/>
        <v>1.0000000000000001E-9</v>
      </c>
      <c r="I65" s="2">
        <f t="shared" si="21"/>
        <v>1000</v>
      </c>
      <c r="J65" s="2">
        <f t="shared" si="13"/>
        <v>996</v>
      </c>
      <c r="K65" s="2">
        <f t="shared" si="14"/>
        <v>0</v>
      </c>
      <c r="P65" s="2">
        <f t="shared" si="6"/>
        <v>0</v>
      </c>
      <c r="S65" s="2">
        <f t="shared" si="19"/>
        <v>60</v>
      </c>
      <c r="T65" s="2">
        <f t="shared" si="20"/>
        <v>26.5001</v>
      </c>
      <c r="U65" s="2">
        <f t="shared" si="16"/>
        <v>26.5001</v>
      </c>
      <c r="V65" s="2">
        <v>23</v>
      </c>
      <c r="W65" s="2">
        <v>5</v>
      </c>
      <c r="X65" s="2">
        <v>0.4</v>
      </c>
      <c r="Y65" s="2">
        <v>0.28000000000000003</v>
      </c>
      <c r="Z65" s="2">
        <v>0.3</v>
      </c>
      <c r="AB65" s="2">
        <f t="shared" si="17"/>
        <v>26.5001</v>
      </c>
      <c r="AC65" s="2">
        <f t="shared" si="18"/>
        <v>26.5001</v>
      </c>
      <c r="AD65" s="2">
        <f t="shared" si="26"/>
        <v>20</v>
      </c>
      <c r="AE65" s="2">
        <f t="shared" si="27"/>
        <v>4</v>
      </c>
      <c r="AF65" s="2">
        <f t="shared" si="28"/>
        <v>0.2</v>
      </c>
      <c r="AG65" s="2">
        <f t="shared" si="29"/>
        <v>0.31622776601683794</v>
      </c>
      <c r="AH65" s="2">
        <f t="shared" si="30"/>
        <v>0</v>
      </c>
    </row>
    <row r="66" spans="1:34">
      <c r="A66" s="11">
        <v>0</v>
      </c>
      <c r="B66" s="11" t="s">
        <v>0</v>
      </c>
      <c r="C66" s="11">
        <v>0</v>
      </c>
      <c r="D66" s="11">
        <v>0</v>
      </c>
      <c r="E66" s="11">
        <v>0</v>
      </c>
      <c r="F66" s="11">
        <v>0</v>
      </c>
      <c r="G66" s="75">
        <v>0</v>
      </c>
      <c r="H66" s="2">
        <f t="shared" si="31"/>
        <v>1.0000000000000001E-9</v>
      </c>
      <c r="I66" s="2">
        <f t="shared" si="21"/>
        <v>1000</v>
      </c>
      <c r="J66" s="2">
        <f t="shared" si="13"/>
        <v>996</v>
      </c>
      <c r="K66" s="2">
        <f t="shared" si="14"/>
        <v>0</v>
      </c>
      <c r="P66" s="2">
        <f t="shared" si="6"/>
        <v>0</v>
      </c>
      <c r="S66" s="2">
        <f t="shared" si="19"/>
        <v>61</v>
      </c>
      <c r="T66" s="2">
        <f t="shared" si="20"/>
        <v>26.5001</v>
      </c>
      <c r="U66" s="2">
        <f t="shared" si="16"/>
        <v>26.5001</v>
      </c>
      <c r="V66" s="2">
        <v>23</v>
      </c>
      <c r="W66" s="2">
        <v>5</v>
      </c>
      <c r="X66" s="2">
        <v>0.4</v>
      </c>
      <c r="Y66" s="2">
        <v>0.28000000000000003</v>
      </c>
      <c r="Z66" s="2">
        <v>0.3</v>
      </c>
      <c r="AB66" s="2">
        <f t="shared" si="17"/>
        <v>26.5001</v>
      </c>
      <c r="AC66" s="2">
        <f t="shared" si="18"/>
        <v>26.5001</v>
      </c>
      <c r="AD66" s="2">
        <f t="shared" si="26"/>
        <v>20</v>
      </c>
      <c r="AE66" s="2">
        <f t="shared" si="27"/>
        <v>4</v>
      </c>
      <c r="AF66" s="2">
        <f t="shared" si="28"/>
        <v>0.2</v>
      </c>
      <c r="AG66" s="2">
        <f t="shared" si="29"/>
        <v>0.31622776601683794</v>
      </c>
      <c r="AH66" s="2">
        <f t="shared" si="30"/>
        <v>0</v>
      </c>
    </row>
    <row r="67" spans="1:34">
      <c r="A67" s="11">
        <v>0</v>
      </c>
      <c r="B67" s="11" t="s">
        <v>0</v>
      </c>
      <c r="C67" s="11">
        <v>0</v>
      </c>
      <c r="D67" s="11">
        <v>0</v>
      </c>
      <c r="E67" s="11">
        <v>0</v>
      </c>
      <c r="F67" s="11">
        <v>0</v>
      </c>
      <c r="G67" s="75">
        <v>0</v>
      </c>
      <c r="H67" s="2">
        <f t="shared" si="31"/>
        <v>1.0000000000000001E-9</v>
      </c>
      <c r="I67" s="2">
        <f t="shared" si="21"/>
        <v>1000</v>
      </c>
      <c r="J67" s="2">
        <f t="shared" si="13"/>
        <v>996</v>
      </c>
      <c r="K67" s="2">
        <f t="shared" si="14"/>
        <v>0</v>
      </c>
      <c r="P67" s="2">
        <f t="shared" si="6"/>
        <v>0</v>
      </c>
      <c r="S67" s="2">
        <f t="shared" si="19"/>
        <v>62</v>
      </c>
      <c r="T67" s="2">
        <f t="shared" si="20"/>
        <v>26.5001</v>
      </c>
      <c r="U67" s="2">
        <f t="shared" si="16"/>
        <v>26.5001</v>
      </c>
      <c r="V67" s="2">
        <v>23</v>
      </c>
      <c r="W67" s="2">
        <v>5</v>
      </c>
      <c r="X67" s="2">
        <v>0.4</v>
      </c>
      <c r="Y67" s="2">
        <v>0.28000000000000003</v>
      </c>
      <c r="Z67" s="2">
        <v>0.3</v>
      </c>
      <c r="AB67" s="2">
        <f t="shared" si="17"/>
        <v>26.5001</v>
      </c>
      <c r="AC67" s="2">
        <f t="shared" si="18"/>
        <v>26.5001</v>
      </c>
      <c r="AD67" s="2">
        <f t="shared" si="26"/>
        <v>20</v>
      </c>
      <c r="AE67" s="2">
        <f t="shared" si="27"/>
        <v>4</v>
      </c>
      <c r="AF67" s="2">
        <f t="shared" si="28"/>
        <v>0.2</v>
      </c>
      <c r="AG67" s="2">
        <f t="shared" si="29"/>
        <v>0.31622776601683794</v>
      </c>
      <c r="AH67" s="2">
        <f t="shared" si="30"/>
        <v>0</v>
      </c>
    </row>
    <row r="68" spans="1:34">
      <c r="A68" s="11">
        <v>0</v>
      </c>
      <c r="B68" s="11" t="s">
        <v>0</v>
      </c>
      <c r="C68" s="11">
        <v>0</v>
      </c>
      <c r="D68" s="11">
        <v>0</v>
      </c>
      <c r="E68" s="11">
        <v>0</v>
      </c>
      <c r="F68" s="11">
        <v>0</v>
      </c>
      <c r="G68" s="75">
        <v>0</v>
      </c>
      <c r="H68" s="2">
        <f t="shared" si="31"/>
        <v>1.0000000000000001E-9</v>
      </c>
      <c r="I68" s="2">
        <f t="shared" si="21"/>
        <v>1000</v>
      </c>
      <c r="J68" s="2">
        <f t="shared" si="13"/>
        <v>996</v>
      </c>
      <c r="K68" s="2">
        <f t="shared" si="14"/>
        <v>0</v>
      </c>
      <c r="P68" s="2">
        <f t="shared" si="6"/>
        <v>0</v>
      </c>
      <c r="S68" s="2">
        <f t="shared" si="19"/>
        <v>63</v>
      </c>
      <c r="T68" s="2">
        <f t="shared" si="20"/>
        <v>26.5001</v>
      </c>
      <c r="U68" s="2">
        <f t="shared" si="16"/>
        <v>26.5001</v>
      </c>
      <c r="V68" s="2">
        <v>23</v>
      </c>
      <c r="W68" s="2">
        <v>5</v>
      </c>
      <c r="X68" s="2">
        <v>0.4</v>
      </c>
      <c r="Y68" s="2">
        <v>0.28000000000000003</v>
      </c>
      <c r="Z68" s="2">
        <v>0.3</v>
      </c>
      <c r="AB68" s="2">
        <f t="shared" si="17"/>
        <v>26.5001</v>
      </c>
      <c r="AC68" s="2">
        <f t="shared" si="18"/>
        <v>26.5001</v>
      </c>
      <c r="AD68" s="2">
        <f t="shared" si="26"/>
        <v>20</v>
      </c>
      <c r="AE68" s="2">
        <f t="shared" si="27"/>
        <v>4</v>
      </c>
      <c r="AF68" s="2">
        <f t="shared" si="28"/>
        <v>0.2</v>
      </c>
      <c r="AG68" s="2">
        <f t="shared" si="29"/>
        <v>0.31622776601683794</v>
      </c>
      <c r="AH68" s="2">
        <f t="shared" si="30"/>
        <v>0</v>
      </c>
    </row>
    <row r="69" spans="1:34">
      <c r="A69" s="11">
        <v>0</v>
      </c>
      <c r="B69" s="11" t="s">
        <v>0</v>
      </c>
      <c r="C69" s="11">
        <v>0</v>
      </c>
      <c r="D69" s="11">
        <v>0</v>
      </c>
      <c r="E69" s="11">
        <v>0</v>
      </c>
      <c r="F69" s="11">
        <v>0</v>
      </c>
      <c r="G69" s="75">
        <v>0</v>
      </c>
      <c r="H69" s="2">
        <f t="shared" si="31"/>
        <v>1.0000000000000001E-9</v>
      </c>
      <c r="I69" s="2">
        <f t="shared" si="21"/>
        <v>1000</v>
      </c>
      <c r="J69" s="2">
        <f t="shared" si="13"/>
        <v>996</v>
      </c>
      <c r="K69" s="2">
        <f t="shared" si="14"/>
        <v>0</v>
      </c>
      <c r="P69" s="2">
        <f t="shared" si="6"/>
        <v>0</v>
      </c>
      <c r="S69" s="2">
        <f t="shared" si="19"/>
        <v>64</v>
      </c>
      <c r="T69" s="2">
        <f t="shared" si="20"/>
        <v>26.5001</v>
      </c>
      <c r="U69" s="2">
        <f t="shared" si="16"/>
        <v>26.5001</v>
      </c>
      <c r="V69" s="2">
        <v>23</v>
      </c>
      <c r="W69" s="2">
        <v>5</v>
      </c>
      <c r="X69" s="2">
        <v>0.4</v>
      </c>
      <c r="Y69" s="2">
        <v>0.28000000000000003</v>
      </c>
      <c r="Z69" s="2">
        <v>0.3</v>
      </c>
      <c r="AB69" s="2">
        <f t="shared" si="17"/>
        <v>26.5001</v>
      </c>
      <c r="AC69" s="2">
        <f t="shared" si="18"/>
        <v>26.5001</v>
      </c>
      <c r="AD69" s="2">
        <f t="shared" si="26"/>
        <v>20</v>
      </c>
      <c r="AE69" s="2">
        <f t="shared" si="27"/>
        <v>4</v>
      </c>
      <c r="AF69" s="2">
        <f t="shared" si="28"/>
        <v>0.2</v>
      </c>
      <c r="AG69" s="2">
        <f t="shared" si="29"/>
        <v>0.31622776601683794</v>
      </c>
      <c r="AH69" s="2">
        <f t="shared" si="30"/>
        <v>0</v>
      </c>
    </row>
    <row r="70" spans="1:34">
      <c r="A70" s="11">
        <v>0</v>
      </c>
      <c r="B70" s="11" t="s">
        <v>0</v>
      </c>
      <c r="C70" s="11">
        <v>0</v>
      </c>
      <c r="D70" s="11">
        <v>0</v>
      </c>
      <c r="E70" s="11">
        <v>0</v>
      </c>
      <c r="F70" s="11">
        <v>0</v>
      </c>
      <c r="G70" s="75">
        <v>0</v>
      </c>
      <c r="H70" s="2">
        <f t="shared" si="31"/>
        <v>1.0000000000000001E-9</v>
      </c>
      <c r="I70" s="2">
        <f t="shared" ref="I70:I101" si="32">IF(A70&gt;0,A70*H70,1000)</f>
        <v>1000</v>
      </c>
      <c r="J70" s="2">
        <f t="shared" si="13"/>
        <v>996</v>
      </c>
      <c r="K70" s="2">
        <f t="shared" si="14"/>
        <v>0</v>
      </c>
      <c r="P70" s="2">
        <f t="shared" ref="P70:P101" si="33">$K70*G70</f>
        <v>0</v>
      </c>
      <c r="S70" s="2">
        <f t="shared" si="19"/>
        <v>65</v>
      </c>
      <c r="T70" s="2">
        <f t="shared" si="20"/>
        <v>26.5001</v>
      </c>
      <c r="U70" s="2">
        <f t="shared" si="16"/>
        <v>26.5001</v>
      </c>
      <c r="V70" s="2">
        <v>23</v>
      </c>
      <c r="W70" s="2">
        <v>5</v>
      </c>
      <c r="X70" s="2">
        <v>0.4</v>
      </c>
      <c r="Y70" s="2">
        <v>0.28000000000000003</v>
      </c>
      <c r="Z70" s="2">
        <v>0.3</v>
      </c>
      <c r="AB70" s="2">
        <f t="shared" si="17"/>
        <v>26.5001</v>
      </c>
      <c r="AC70" s="2">
        <f t="shared" si="18"/>
        <v>26.5001</v>
      </c>
      <c r="AD70" s="2">
        <f t="shared" ref="AD70:AD101" si="34">(IF(DUT_DataType=1,SF_DUTGain,V70))</f>
        <v>20</v>
      </c>
      <c r="AE70" s="2">
        <f t="shared" ref="AE70:AE101" si="35">IF(DUT_DataType=1,SF_DUTNF,W70)</f>
        <v>4</v>
      </c>
      <c r="AF70" s="2">
        <f t="shared" ref="AF70:AF101" si="36">IF(DUT_DataType=1,SF_DUTGamIn,X70)</f>
        <v>0.2</v>
      </c>
      <c r="AG70" s="2">
        <f t="shared" ref="AG70:AG101" si="37">IF(DUT_DataType=1,SF_DUTGamOut,Y70)</f>
        <v>0.31622776601683794</v>
      </c>
      <c r="AH70" s="2">
        <f t="shared" ref="AH70:AH101" si="38">UseReverse*IF(DUT_DataType=1,SF_DUT_RevRatio,Z70)</f>
        <v>0</v>
      </c>
    </row>
    <row r="71" spans="1:34">
      <c r="A71" s="11">
        <v>0</v>
      </c>
      <c r="B71" s="11" t="s">
        <v>0</v>
      </c>
      <c r="C71" s="11">
        <v>0</v>
      </c>
      <c r="D71" s="11">
        <v>0</v>
      </c>
      <c r="E71" s="11">
        <v>0</v>
      </c>
      <c r="F71" s="11">
        <v>0</v>
      </c>
      <c r="G71" s="75">
        <v>0</v>
      </c>
      <c r="H71" s="2">
        <f t="shared" ref="H71:H101" si="39">IF(UPPER(TRIM(B71))="MHZ",0.001,IF((UPPER(TRIM(B71)))="GHZ",1,IF(UPPER(TRIM(B71))="KHZ",0.000001,0.000000001)))</f>
        <v>1.0000000000000001E-9</v>
      </c>
      <c r="I71" s="2">
        <f t="shared" si="32"/>
        <v>1000</v>
      </c>
      <c r="J71" s="2">
        <f t="shared" ref="J71:J101" si="40">ABS(K$4-I71)</f>
        <v>996</v>
      </c>
      <c r="K71" s="2">
        <f t="shared" ref="K71:K101" si="41">IF(J71=J$4,1,0)</f>
        <v>0</v>
      </c>
      <c r="P71" s="2">
        <f t="shared" si="33"/>
        <v>0</v>
      </c>
      <c r="S71" s="2">
        <f t="shared" si="19"/>
        <v>66</v>
      </c>
      <c r="T71" s="2">
        <f t="shared" si="20"/>
        <v>26.5001</v>
      </c>
      <c r="U71" s="2">
        <f t="shared" ref="U71:U107" si="42">IF($S$4&gt;=0,IF(U70&gt;=$S$5,$S$5+0.0001,U70+$S$4),IF(U70&lt;=$S$5,$S$5-0.0001,U70+$S$4))</f>
        <v>26.5001</v>
      </c>
      <c r="V71" s="2">
        <v>23</v>
      </c>
      <c r="W71" s="2">
        <v>5</v>
      </c>
      <c r="X71" s="2">
        <v>0.4</v>
      </c>
      <c r="Y71" s="2">
        <v>0.28000000000000003</v>
      </c>
      <c r="Z71" s="2">
        <v>0.3</v>
      </c>
      <c r="AB71" s="2">
        <f t="shared" ref="AB71:AB106" si="43">T71</f>
        <v>26.5001</v>
      </c>
      <c r="AC71" s="2">
        <f t="shared" ref="AC71:AC107" si="44">U71</f>
        <v>26.5001</v>
      </c>
      <c r="AD71" s="2">
        <f t="shared" si="34"/>
        <v>20</v>
      </c>
      <c r="AE71" s="2">
        <f t="shared" si="35"/>
        <v>4</v>
      </c>
      <c r="AF71" s="2">
        <f t="shared" si="36"/>
        <v>0.2</v>
      </c>
      <c r="AG71" s="2">
        <f t="shared" si="37"/>
        <v>0.31622776601683794</v>
      </c>
      <c r="AH71" s="2">
        <f t="shared" si="38"/>
        <v>0</v>
      </c>
    </row>
    <row r="72" spans="1:34">
      <c r="A72" s="11">
        <v>0</v>
      </c>
      <c r="B72" s="11" t="s">
        <v>0</v>
      </c>
      <c r="C72" s="11">
        <v>0</v>
      </c>
      <c r="D72" s="11">
        <v>0</v>
      </c>
      <c r="E72" s="11">
        <v>0</v>
      </c>
      <c r="F72" s="11">
        <v>0</v>
      </c>
      <c r="G72" s="75">
        <v>0</v>
      </c>
      <c r="H72" s="2">
        <f t="shared" si="39"/>
        <v>1.0000000000000001E-9</v>
      </c>
      <c r="I72" s="2">
        <f t="shared" si="32"/>
        <v>1000</v>
      </c>
      <c r="J72" s="2">
        <f t="shared" si="40"/>
        <v>996</v>
      </c>
      <c r="K72" s="2">
        <f t="shared" si="41"/>
        <v>0</v>
      </c>
      <c r="P72" s="2">
        <f t="shared" si="33"/>
        <v>0</v>
      </c>
      <c r="S72" s="2">
        <f t="shared" ref="S72:S107" si="45">1+S71</f>
        <v>67</v>
      </c>
      <c r="T72" s="2">
        <f t="shared" si="20"/>
        <v>26.5001</v>
      </c>
      <c r="U72" s="2">
        <f t="shared" si="42"/>
        <v>26.5001</v>
      </c>
      <c r="V72" s="2">
        <v>23</v>
      </c>
      <c r="W72" s="2">
        <v>5</v>
      </c>
      <c r="X72" s="2">
        <v>0.4</v>
      </c>
      <c r="Y72" s="2">
        <v>0.28000000000000003</v>
      </c>
      <c r="Z72" s="2">
        <v>0.3</v>
      </c>
      <c r="AB72" s="2">
        <f t="shared" si="43"/>
        <v>26.5001</v>
      </c>
      <c r="AC72" s="2">
        <f t="shared" si="44"/>
        <v>26.5001</v>
      </c>
      <c r="AD72" s="2">
        <f t="shared" si="34"/>
        <v>20</v>
      </c>
      <c r="AE72" s="2">
        <f t="shared" si="35"/>
        <v>4</v>
      </c>
      <c r="AF72" s="2">
        <f t="shared" si="36"/>
        <v>0.2</v>
      </c>
      <c r="AG72" s="2">
        <f t="shared" si="37"/>
        <v>0.31622776601683794</v>
      </c>
      <c r="AH72" s="2">
        <f t="shared" si="38"/>
        <v>0</v>
      </c>
    </row>
    <row r="73" spans="1:34">
      <c r="A73" s="11">
        <v>0</v>
      </c>
      <c r="B73" s="11" t="s">
        <v>0</v>
      </c>
      <c r="C73" s="11">
        <v>0</v>
      </c>
      <c r="D73" s="11">
        <v>0</v>
      </c>
      <c r="E73" s="11">
        <v>0</v>
      </c>
      <c r="F73" s="11">
        <v>0</v>
      </c>
      <c r="G73" s="75">
        <v>0</v>
      </c>
      <c r="H73" s="2">
        <f t="shared" si="39"/>
        <v>1.0000000000000001E-9</v>
      </c>
      <c r="I73" s="2">
        <f t="shared" si="32"/>
        <v>1000</v>
      </c>
      <c r="J73" s="2">
        <f t="shared" si="40"/>
        <v>996</v>
      </c>
      <c r="K73" s="2">
        <f t="shared" si="41"/>
        <v>0</v>
      </c>
      <c r="P73" s="2">
        <f t="shared" si="33"/>
        <v>0</v>
      </c>
      <c r="S73" s="2">
        <f t="shared" si="45"/>
        <v>68</v>
      </c>
      <c r="T73" s="2">
        <f t="shared" si="20"/>
        <v>26.5001</v>
      </c>
      <c r="U73" s="2">
        <f t="shared" si="42"/>
        <v>26.5001</v>
      </c>
      <c r="V73" s="2">
        <v>23</v>
      </c>
      <c r="W73" s="2">
        <v>5</v>
      </c>
      <c r="X73" s="2">
        <v>0.4</v>
      </c>
      <c r="Y73" s="2">
        <v>0.28000000000000003</v>
      </c>
      <c r="Z73" s="2">
        <v>0.3</v>
      </c>
      <c r="AB73" s="2">
        <f t="shared" si="43"/>
        <v>26.5001</v>
      </c>
      <c r="AC73" s="2">
        <f t="shared" si="44"/>
        <v>26.5001</v>
      </c>
      <c r="AD73" s="2">
        <f t="shared" si="34"/>
        <v>20</v>
      </c>
      <c r="AE73" s="2">
        <f t="shared" si="35"/>
        <v>4</v>
      </c>
      <c r="AF73" s="2">
        <f t="shared" si="36"/>
        <v>0.2</v>
      </c>
      <c r="AG73" s="2">
        <f t="shared" si="37"/>
        <v>0.31622776601683794</v>
      </c>
      <c r="AH73" s="2">
        <f t="shared" si="38"/>
        <v>0</v>
      </c>
    </row>
    <row r="74" spans="1:34">
      <c r="A74" s="11">
        <v>0</v>
      </c>
      <c r="B74" s="11" t="s">
        <v>0</v>
      </c>
      <c r="C74" s="11">
        <v>0</v>
      </c>
      <c r="D74" s="11">
        <v>0</v>
      </c>
      <c r="E74" s="11">
        <v>0</v>
      </c>
      <c r="F74" s="11">
        <v>0</v>
      </c>
      <c r="G74" s="75">
        <v>0</v>
      </c>
      <c r="H74" s="2">
        <f t="shared" si="39"/>
        <v>1.0000000000000001E-9</v>
      </c>
      <c r="I74" s="2">
        <f t="shared" si="32"/>
        <v>1000</v>
      </c>
      <c r="J74" s="2">
        <f t="shared" si="40"/>
        <v>996</v>
      </c>
      <c r="K74" s="2">
        <f t="shared" si="41"/>
        <v>0</v>
      </c>
      <c r="P74" s="2">
        <f t="shared" si="33"/>
        <v>0</v>
      </c>
      <c r="S74" s="2">
        <f t="shared" si="45"/>
        <v>69</v>
      </c>
      <c r="T74" s="2">
        <f t="shared" si="20"/>
        <v>26.5001</v>
      </c>
      <c r="U74" s="2">
        <f t="shared" si="42"/>
        <v>26.5001</v>
      </c>
      <c r="V74" s="2">
        <v>23</v>
      </c>
      <c r="W74" s="2">
        <v>5</v>
      </c>
      <c r="X74" s="2">
        <v>0.4</v>
      </c>
      <c r="Y74" s="2">
        <v>0.28000000000000003</v>
      </c>
      <c r="Z74" s="2">
        <v>0.3</v>
      </c>
      <c r="AB74" s="2">
        <f t="shared" si="43"/>
        <v>26.5001</v>
      </c>
      <c r="AC74" s="2">
        <f t="shared" si="44"/>
        <v>26.5001</v>
      </c>
      <c r="AD74" s="2">
        <f t="shared" si="34"/>
        <v>20</v>
      </c>
      <c r="AE74" s="2">
        <f t="shared" si="35"/>
        <v>4</v>
      </c>
      <c r="AF74" s="2">
        <f t="shared" si="36"/>
        <v>0.2</v>
      </c>
      <c r="AG74" s="2">
        <f t="shared" si="37"/>
        <v>0.31622776601683794</v>
      </c>
      <c r="AH74" s="2">
        <f t="shared" si="38"/>
        <v>0</v>
      </c>
    </row>
    <row r="75" spans="1:34">
      <c r="A75" s="11">
        <v>0</v>
      </c>
      <c r="B75" s="11" t="s">
        <v>0</v>
      </c>
      <c r="C75" s="11">
        <v>0</v>
      </c>
      <c r="D75" s="11">
        <v>0</v>
      </c>
      <c r="E75" s="11">
        <v>0</v>
      </c>
      <c r="F75" s="11">
        <v>0</v>
      </c>
      <c r="G75" s="75">
        <v>0</v>
      </c>
      <c r="H75" s="2">
        <f t="shared" si="39"/>
        <v>1.0000000000000001E-9</v>
      </c>
      <c r="I75" s="2">
        <f t="shared" si="32"/>
        <v>1000</v>
      </c>
      <c r="J75" s="2">
        <f t="shared" si="40"/>
        <v>996</v>
      </c>
      <c r="K75" s="2">
        <f t="shared" si="41"/>
        <v>0</v>
      </c>
      <c r="P75" s="2">
        <f t="shared" si="33"/>
        <v>0</v>
      </c>
      <c r="S75" s="2">
        <f t="shared" si="45"/>
        <v>70</v>
      </c>
      <c r="T75" s="2">
        <f t="shared" si="20"/>
        <v>26.5001</v>
      </c>
      <c r="U75" s="2">
        <f t="shared" si="42"/>
        <v>26.5001</v>
      </c>
      <c r="V75" s="2">
        <v>23</v>
      </c>
      <c r="W75" s="2">
        <v>5</v>
      </c>
      <c r="X75" s="2">
        <v>0.4</v>
      </c>
      <c r="Y75" s="2">
        <v>0.28000000000000003</v>
      </c>
      <c r="Z75" s="2">
        <v>0.3</v>
      </c>
      <c r="AB75" s="2">
        <f t="shared" si="43"/>
        <v>26.5001</v>
      </c>
      <c r="AC75" s="2">
        <f t="shared" si="44"/>
        <v>26.5001</v>
      </c>
      <c r="AD75" s="2">
        <f t="shared" si="34"/>
        <v>20</v>
      </c>
      <c r="AE75" s="2">
        <f t="shared" si="35"/>
        <v>4</v>
      </c>
      <c r="AF75" s="2">
        <f t="shared" si="36"/>
        <v>0.2</v>
      </c>
      <c r="AG75" s="2">
        <f t="shared" si="37"/>
        <v>0.31622776601683794</v>
      </c>
      <c r="AH75" s="2">
        <f t="shared" si="38"/>
        <v>0</v>
      </c>
    </row>
    <row r="76" spans="1:34">
      <c r="A76" s="11">
        <v>0</v>
      </c>
      <c r="B76" s="11" t="s">
        <v>0</v>
      </c>
      <c r="C76" s="11">
        <v>0</v>
      </c>
      <c r="D76" s="11">
        <v>0</v>
      </c>
      <c r="E76" s="11">
        <v>0</v>
      </c>
      <c r="F76" s="11">
        <v>0</v>
      </c>
      <c r="G76" s="75">
        <v>0</v>
      </c>
      <c r="H76" s="2">
        <f t="shared" si="39"/>
        <v>1.0000000000000001E-9</v>
      </c>
      <c r="I76" s="2">
        <f t="shared" si="32"/>
        <v>1000</v>
      </c>
      <c r="J76" s="2">
        <f t="shared" si="40"/>
        <v>996</v>
      </c>
      <c r="K76" s="2">
        <f t="shared" si="41"/>
        <v>0</v>
      </c>
      <c r="P76" s="2">
        <f t="shared" si="33"/>
        <v>0</v>
      </c>
      <c r="S76" s="2">
        <f t="shared" si="45"/>
        <v>71</v>
      </c>
      <c r="T76" s="2">
        <f t="shared" si="20"/>
        <v>26.5001</v>
      </c>
      <c r="U76" s="2">
        <f t="shared" si="42"/>
        <v>26.5001</v>
      </c>
      <c r="V76" s="2">
        <v>23</v>
      </c>
      <c r="W76" s="2">
        <v>5</v>
      </c>
      <c r="X76" s="2">
        <v>0.4</v>
      </c>
      <c r="Y76" s="2">
        <v>0.28000000000000003</v>
      </c>
      <c r="Z76" s="2">
        <v>0.3</v>
      </c>
      <c r="AB76" s="2">
        <f t="shared" si="43"/>
        <v>26.5001</v>
      </c>
      <c r="AC76" s="2">
        <f t="shared" si="44"/>
        <v>26.5001</v>
      </c>
      <c r="AD76" s="2">
        <f t="shared" si="34"/>
        <v>20</v>
      </c>
      <c r="AE76" s="2">
        <f t="shared" si="35"/>
        <v>4</v>
      </c>
      <c r="AF76" s="2">
        <f t="shared" si="36"/>
        <v>0.2</v>
      </c>
      <c r="AG76" s="2">
        <f t="shared" si="37"/>
        <v>0.31622776601683794</v>
      </c>
      <c r="AH76" s="2">
        <f t="shared" si="38"/>
        <v>0</v>
      </c>
    </row>
    <row r="77" spans="1:34">
      <c r="A77" s="11">
        <v>0</v>
      </c>
      <c r="B77" s="11" t="s">
        <v>0</v>
      </c>
      <c r="C77" s="11">
        <v>0</v>
      </c>
      <c r="D77" s="11">
        <v>0</v>
      </c>
      <c r="E77" s="11">
        <v>0</v>
      </c>
      <c r="F77" s="11">
        <v>0</v>
      </c>
      <c r="G77" s="75">
        <v>0</v>
      </c>
      <c r="H77" s="2">
        <f t="shared" si="39"/>
        <v>1.0000000000000001E-9</v>
      </c>
      <c r="I77" s="2">
        <f t="shared" si="32"/>
        <v>1000</v>
      </c>
      <c r="J77" s="2">
        <f t="shared" si="40"/>
        <v>996</v>
      </c>
      <c r="K77" s="2">
        <f t="shared" si="41"/>
        <v>0</v>
      </c>
      <c r="P77" s="2">
        <f t="shared" si="33"/>
        <v>0</v>
      </c>
      <c r="S77" s="2">
        <f t="shared" si="45"/>
        <v>72</v>
      </c>
      <c r="T77" s="2">
        <f t="shared" si="20"/>
        <v>26.5001</v>
      </c>
      <c r="U77" s="2">
        <f t="shared" si="42"/>
        <v>26.5001</v>
      </c>
      <c r="V77" s="2">
        <v>23</v>
      </c>
      <c r="W77" s="2">
        <v>5</v>
      </c>
      <c r="X77" s="2">
        <v>0.4</v>
      </c>
      <c r="Y77" s="2">
        <v>0.28000000000000003</v>
      </c>
      <c r="Z77" s="2">
        <v>0.3</v>
      </c>
      <c r="AB77" s="2">
        <f t="shared" si="43"/>
        <v>26.5001</v>
      </c>
      <c r="AC77" s="2">
        <f t="shared" si="44"/>
        <v>26.5001</v>
      </c>
      <c r="AD77" s="2">
        <f t="shared" si="34"/>
        <v>20</v>
      </c>
      <c r="AE77" s="2">
        <f t="shared" si="35"/>
        <v>4</v>
      </c>
      <c r="AF77" s="2">
        <f t="shared" si="36"/>
        <v>0.2</v>
      </c>
      <c r="AG77" s="2">
        <f t="shared" si="37"/>
        <v>0.31622776601683794</v>
      </c>
      <c r="AH77" s="2">
        <f t="shared" si="38"/>
        <v>0</v>
      </c>
    </row>
    <row r="78" spans="1:34">
      <c r="A78" s="11">
        <v>0</v>
      </c>
      <c r="B78" s="11" t="s">
        <v>0</v>
      </c>
      <c r="C78" s="11">
        <v>0</v>
      </c>
      <c r="D78" s="11">
        <v>0</v>
      </c>
      <c r="E78" s="11">
        <v>0</v>
      </c>
      <c r="F78" s="11">
        <v>0</v>
      </c>
      <c r="G78" s="75">
        <v>0</v>
      </c>
      <c r="H78" s="2">
        <f t="shared" si="39"/>
        <v>1.0000000000000001E-9</v>
      </c>
      <c r="I78" s="2">
        <f t="shared" si="32"/>
        <v>1000</v>
      </c>
      <c r="J78" s="2">
        <f t="shared" si="40"/>
        <v>996</v>
      </c>
      <c r="K78" s="2">
        <f t="shared" si="41"/>
        <v>0</v>
      </c>
      <c r="P78" s="2">
        <f t="shared" si="33"/>
        <v>0</v>
      </c>
      <c r="S78" s="2">
        <f t="shared" si="45"/>
        <v>73</v>
      </c>
      <c r="T78" s="2">
        <f t="shared" si="20"/>
        <v>26.5001</v>
      </c>
      <c r="U78" s="2">
        <f t="shared" si="42"/>
        <v>26.5001</v>
      </c>
      <c r="V78" s="2">
        <v>23</v>
      </c>
      <c r="W78" s="2">
        <v>5</v>
      </c>
      <c r="X78" s="2">
        <v>0.4</v>
      </c>
      <c r="Y78" s="2">
        <v>0.28000000000000003</v>
      </c>
      <c r="Z78" s="2">
        <v>0.3</v>
      </c>
      <c r="AB78" s="2">
        <f t="shared" si="43"/>
        <v>26.5001</v>
      </c>
      <c r="AC78" s="2">
        <f t="shared" si="44"/>
        <v>26.5001</v>
      </c>
      <c r="AD78" s="2">
        <f t="shared" si="34"/>
        <v>20</v>
      </c>
      <c r="AE78" s="2">
        <f t="shared" si="35"/>
        <v>4</v>
      </c>
      <c r="AF78" s="2">
        <f t="shared" si="36"/>
        <v>0.2</v>
      </c>
      <c r="AG78" s="2">
        <f t="shared" si="37"/>
        <v>0.31622776601683794</v>
      </c>
      <c r="AH78" s="2">
        <f t="shared" si="38"/>
        <v>0</v>
      </c>
    </row>
    <row r="79" spans="1:34">
      <c r="A79" s="11">
        <v>0</v>
      </c>
      <c r="B79" s="11" t="s">
        <v>0</v>
      </c>
      <c r="C79" s="11">
        <v>0</v>
      </c>
      <c r="D79" s="11">
        <v>0</v>
      </c>
      <c r="E79" s="11">
        <v>0</v>
      </c>
      <c r="F79" s="11">
        <v>0</v>
      </c>
      <c r="G79" s="75">
        <v>0</v>
      </c>
      <c r="H79" s="2">
        <f t="shared" si="39"/>
        <v>1.0000000000000001E-9</v>
      </c>
      <c r="I79" s="2">
        <f t="shared" si="32"/>
        <v>1000</v>
      </c>
      <c r="J79" s="2">
        <f t="shared" si="40"/>
        <v>996</v>
      </c>
      <c r="K79" s="2">
        <f t="shared" si="41"/>
        <v>0</v>
      </c>
      <c r="P79" s="2">
        <f t="shared" si="33"/>
        <v>0</v>
      </c>
      <c r="S79" s="2">
        <f t="shared" si="45"/>
        <v>74</v>
      </c>
      <c r="T79" s="2">
        <f t="shared" si="20"/>
        <v>26.5001</v>
      </c>
      <c r="U79" s="2">
        <f t="shared" si="42"/>
        <v>26.5001</v>
      </c>
      <c r="V79" s="2">
        <v>23</v>
      </c>
      <c r="W79" s="2">
        <v>5</v>
      </c>
      <c r="X79" s="2">
        <v>0.4</v>
      </c>
      <c r="Y79" s="2">
        <v>0.28000000000000003</v>
      </c>
      <c r="Z79" s="2">
        <v>0.3</v>
      </c>
      <c r="AB79" s="2">
        <f t="shared" si="43"/>
        <v>26.5001</v>
      </c>
      <c r="AC79" s="2">
        <f t="shared" si="44"/>
        <v>26.5001</v>
      </c>
      <c r="AD79" s="2">
        <f t="shared" si="34"/>
        <v>20</v>
      </c>
      <c r="AE79" s="2">
        <f t="shared" si="35"/>
        <v>4</v>
      </c>
      <c r="AF79" s="2">
        <f t="shared" si="36"/>
        <v>0.2</v>
      </c>
      <c r="AG79" s="2">
        <f t="shared" si="37"/>
        <v>0.31622776601683794</v>
      </c>
      <c r="AH79" s="2">
        <f t="shared" si="38"/>
        <v>0</v>
      </c>
    </row>
    <row r="80" spans="1:34">
      <c r="A80" s="11">
        <v>0</v>
      </c>
      <c r="B80" s="11" t="s">
        <v>0</v>
      </c>
      <c r="C80" s="11">
        <v>0</v>
      </c>
      <c r="D80" s="11">
        <v>0</v>
      </c>
      <c r="E80" s="11">
        <v>0</v>
      </c>
      <c r="F80" s="11">
        <v>0</v>
      </c>
      <c r="G80" s="75">
        <v>0</v>
      </c>
      <c r="H80" s="2">
        <f t="shared" si="39"/>
        <v>1.0000000000000001E-9</v>
      </c>
      <c r="I80" s="2">
        <f t="shared" si="32"/>
        <v>1000</v>
      </c>
      <c r="J80" s="2">
        <f t="shared" si="40"/>
        <v>996</v>
      </c>
      <c r="K80" s="2">
        <f t="shared" si="41"/>
        <v>0</v>
      </c>
      <c r="P80" s="2">
        <f t="shared" si="33"/>
        <v>0</v>
      </c>
      <c r="S80" s="2">
        <f t="shared" si="45"/>
        <v>75</v>
      </c>
      <c r="T80" s="2">
        <f t="shared" si="20"/>
        <v>26.5001</v>
      </c>
      <c r="U80" s="2">
        <f t="shared" si="42"/>
        <v>26.5001</v>
      </c>
      <c r="V80" s="2">
        <v>23</v>
      </c>
      <c r="W80" s="2">
        <v>5</v>
      </c>
      <c r="X80" s="2">
        <v>0.4</v>
      </c>
      <c r="Y80" s="2">
        <v>0.28000000000000003</v>
      </c>
      <c r="Z80" s="2">
        <v>0.3</v>
      </c>
      <c r="AB80" s="2">
        <f t="shared" si="43"/>
        <v>26.5001</v>
      </c>
      <c r="AC80" s="2">
        <f t="shared" si="44"/>
        <v>26.5001</v>
      </c>
      <c r="AD80" s="2">
        <f t="shared" si="34"/>
        <v>20</v>
      </c>
      <c r="AE80" s="2">
        <f t="shared" si="35"/>
        <v>4</v>
      </c>
      <c r="AF80" s="2">
        <f t="shared" si="36"/>
        <v>0.2</v>
      </c>
      <c r="AG80" s="2">
        <f t="shared" si="37"/>
        <v>0.31622776601683794</v>
      </c>
      <c r="AH80" s="2">
        <f t="shared" si="38"/>
        <v>0</v>
      </c>
    </row>
    <row r="81" spans="1:34">
      <c r="A81" s="11">
        <v>0</v>
      </c>
      <c r="B81" s="11" t="s">
        <v>0</v>
      </c>
      <c r="C81" s="11">
        <v>0</v>
      </c>
      <c r="D81" s="11">
        <v>0</v>
      </c>
      <c r="E81" s="11">
        <v>0</v>
      </c>
      <c r="F81" s="11">
        <v>0</v>
      </c>
      <c r="G81" s="75">
        <v>0</v>
      </c>
      <c r="H81" s="2">
        <f t="shared" si="39"/>
        <v>1.0000000000000001E-9</v>
      </c>
      <c r="I81" s="2">
        <f t="shared" si="32"/>
        <v>1000</v>
      </c>
      <c r="J81" s="2">
        <f t="shared" si="40"/>
        <v>996</v>
      </c>
      <c r="K81" s="2">
        <f t="shared" si="41"/>
        <v>0</v>
      </c>
      <c r="P81" s="2">
        <f t="shared" si="33"/>
        <v>0</v>
      </c>
      <c r="S81" s="2">
        <f t="shared" si="45"/>
        <v>76</v>
      </c>
      <c r="T81" s="2">
        <f t="shared" si="20"/>
        <v>26.5001</v>
      </c>
      <c r="U81" s="2">
        <f t="shared" si="42"/>
        <v>26.5001</v>
      </c>
      <c r="V81" s="2">
        <v>23</v>
      </c>
      <c r="W81" s="2">
        <v>5</v>
      </c>
      <c r="X81" s="2">
        <v>0.4</v>
      </c>
      <c r="Y81" s="2">
        <v>0.28000000000000003</v>
      </c>
      <c r="Z81" s="2">
        <v>0.3</v>
      </c>
      <c r="AB81" s="2">
        <f t="shared" si="43"/>
        <v>26.5001</v>
      </c>
      <c r="AC81" s="2">
        <f t="shared" si="44"/>
        <v>26.5001</v>
      </c>
      <c r="AD81" s="2">
        <f t="shared" si="34"/>
        <v>20</v>
      </c>
      <c r="AE81" s="2">
        <f t="shared" si="35"/>
        <v>4</v>
      </c>
      <c r="AF81" s="2">
        <f t="shared" si="36"/>
        <v>0.2</v>
      </c>
      <c r="AG81" s="2">
        <f t="shared" si="37"/>
        <v>0.31622776601683794</v>
      </c>
      <c r="AH81" s="2">
        <f t="shared" si="38"/>
        <v>0</v>
      </c>
    </row>
    <row r="82" spans="1:34">
      <c r="A82" s="11">
        <v>0</v>
      </c>
      <c r="B82" s="11" t="s">
        <v>0</v>
      </c>
      <c r="C82" s="11">
        <v>0</v>
      </c>
      <c r="D82" s="11">
        <v>0</v>
      </c>
      <c r="E82" s="11">
        <v>0</v>
      </c>
      <c r="F82" s="11">
        <v>0</v>
      </c>
      <c r="G82" s="75">
        <v>0</v>
      </c>
      <c r="H82" s="2">
        <f t="shared" si="39"/>
        <v>1.0000000000000001E-9</v>
      </c>
      <c r="I82" s="2">
        <f t="shared" si="32"/>
        <v>1000</v>
      </c>
      <c r="J82" s="2">
        <f t="shared" si="40"/>
        <v>996</v>
      </c>
      <c r="K82" s="2">
        <f t="shared" si="41"/>
        <v>0</v>
      </c>
      <c r="P82" s="2">
        <f t="shared" si="33"/>
        <v>0</v>
      </c>
      <c r="S82" s="2">
        <f t="shared" si="45"/>
        <v>77</v>
      </c>
      <c r="T82" s="2">
        <f t="shared" si="20"/>
        <v>26.5001</v>
      </c>
      <c r="U82" s="2">
        <f t="shared" si="42"/>
        <v>26.5001</v>
      </c>
      <c r="V82" s="2">
        <v>23</v>
      </c>
      <c r="W82" s="2">
        <v>5</v>
      </c>
      <c r="X82" s="2">
        <v>0.4</v>
      </c>
      <c r="Y82" s="2">
        <v>0.28000000000000003</v>
      </c>
      <c r="Z82" s="2">
        <v>0.3</v>
      </c>
      <c r="AB82" s="2">
        <f t="shared" si="43"/>
        <v>26.5001</v>
      </c>
      <c r="AC82" s="2">
        <f t="shared" si="44"/>
        <v>26.5001</v>
      </c>
      <c r="AD82" s="2">
        <f t="shared" si="34"/>
        <v>20</v>
      </c>
      <c r="AE82" s="2">
        <f t="shared" si="35"/>
        <v>4</v>
      </c>
      <c r="AF82" s="2">
        <f t="shared" si="36"/>
        <v>0.2</v>
      </c>
      <c r="AG82" s="2">
        <f t="shared" si="37"/>
        <v>0.31622776601683794</v>
      </c>
      <c r="AH82" s="2">
        <f t="shared" si="38"/>
        <v>0</v>
      </c>
    </row>
    <row r="83" spans="1:34">
      <c r="A83" s="11">
        <v>0</v>
      </c>
      <c r="B83" s="11" t="s">
        <v>0</v>
      </c>
      <c r="C83" s="11">
        <v>0</v>
      </c>
      <c r="D83" s="11">
        <v>0</v>
      </c>
      <c r="E83" s="11">
        <v>0</v>
      </c>
      <c r="F83" s="11">
        <v>0</v>
      </c>
      <c r="G83" s="75">
        <v>0</v>
      </c>
      <c r="H83" s="2">
        <f t="shared" si="39"/>
        <v>1.0000000000000001E-9</v>
      </c>
      <c r="I83" s="2">
        <f t="shared" si="32"/>
        <v>1000</v>
      </c>
      <c r="J83" s="2">
        <f t="shared" si="40"/>
        <v>996</v>
      </c>
      <c r="K83" s="2">
        <f t="shared" si="41"/>
        <v>0</v>
      </c>
      <c r="P83" s="2">
        <f t="shared" si="33"/>
        <v>0</v>
      </c>
      <c r="S83" s="2">
        <f t="shared" si="45"/>
        <v>78</v>
      </c>
      <c r="T83" s="2">
        <f t="shared" si="20"/>
        <v>26.5001</v>
      </c>
      <c r="U83" s="2">
        <f t="shared" si="42"/>
        <v>26.5001</v>
      </c>
      <c r="V83" s="2">
        <v>23</v>
      </c>
      <c r="W83" s="2">
        <v>5</v>
      </c>
      <c r="X83" s="2">
        <v>0.4</v>
      </c>
      <c r="Y83" s="2">
        <v>0.28000000000000003</v>
      </c>
      <c r="Z83" s="2">
        <v>0.3</v>
      </c>
      <c r="AB83" s="2">
        <f t="shared" si="43"/>
        <v>26.5001</v>
      </c>
      <c r="AC83" s="2">
        <f t="shared" si="44"/>
        <v>26.5001</v>
      </c>
      <c r="AD83" s="2">
        <f t="shared" si="34"/>
        <v>20</v>
      </c>
      <c r="AE83" s="2">
        <f t="shared" si="35"/>
        <v>4</v>
      </c>
      <c r="AF83" s="2">
        <f t="shared" si="36"/>
        <v>0.2</v>
      </c>
      <c r="AG83" s="2">
        <f t="shared" si="37"/>
        <v>0.31622776601683794</v>
      </c>
      <c r="AH83" s="2">
        <f t="shared" si="38"/>
        <v>0</v>
      </c>
    </row>
    <row r="84" spans="1:34">
      <c r="A84" s="11">
        <v>0</v>
      </c>
      <c r="B84" s="11" t="s">
        <v>0</v>
      </c>
      <c r="C84" s="11">
        <v>0</v>
      </c>
      <c r="D84" s="11">
        <v>0</v>
      </c>
      <c r="E84" s="11">
        <v>0</v>
      </c>
      <c r="F84" s="11">
        <v>0</v>
      </c>
      <c r="G84" s="75">
        <v>0</v>
      </c>
      <c r="H84" s="2">
        <f t="shared" si="39"/>
        <v>1.0000000000000001E-9</v>
      </c>
      <c r="I84" s="2">
        <f t="shared" si="32"/>
        <v>1000</v>
      </c>
      <c r="J84" s="2">
        <f t="shared" si="40"/>
        <v>996</v>
      </c>
      <c r="K84" s="2">
        <f t="shared" si="41"/>
        <v>0</v>
      </c>
      <c r="P84" s="2">
        <f t="shared" si="33"/>
        <v>0</v>
      </c>
      <c r="S84" s="2">
        <f t="shared" si="45"/>
        <v>79</v>
      </c>
      <c r="T84" s="2">
        <f t="shared" si="20"/>
        <v>26.5001</v>
      </c>
      <c r="U84" s="2">
        <f t="shared" si="42"/>
        <v>26.5001</v>
      </c>
      <c r="V84" s="2">
        <v>23</v>
      </c>
      <c r="W84" s="2">
        <v>5</v>
      </c>
      <c r="X84" s="2">
        <v>0.4</v>
      </c>
      <c r="Y84" s="2">
        <v>0.28000000000000003</v>
      </c>
      <c r="Z84" s="2">
        <v>0.3</v>
      </c>
      <c r="AB84" s="2">
        <f t="shared" si="43"/>
        <v>26.5001</v>
      </c>
      <c r="AC84" s="2">
        <f t="shared" si="44"/>
        <v>26.5001</v>
      </c>
      <c r="AD84" s="2">
        <f t="shared" si="34"/>
        <v>20</v>
      </c>
      <c r="AE84" s="2">
        <f t="shared" si="35"/>
        <v>4</v>
      </c>
      <c r="AF84" s="2">
        <f t="shared" si="36"/>
        <v>0.2</v>
      </c>
      <c r="AG84" s="2">
        <f t="shared" si="37"/>
        <v>0.31622776601683794</v>
      </c>
      <c r="AH84" s="2">
        <f t="shared" si="38"/>
        <v>0</v>
      </c>
    </row>
    <row r="85" spans="1:34">
      <c r="A85" s="11">
        <v>0</v>
      </c>
      <c r="B85" s="11" t="s">
        <v>0</v>
      </c>
      <c r="C85" s="11">
        <v>0</v>
      </c>
      <c r="D85" s="11">
        <v>0</v>
      </c>
      <c r="E85" s="11">
        <v>0</v>
      </c>
      <c r="F85" s="11">
        <v>0</v>
      </c>
      <c r="G85" s="75">
        <v>0</v>
      </c>
      <c r="H85" s="2">
        <f t="shared" si="39"/>
        <v>1.0000000000000001E-9</v>
      </c>
      <c r="I85" s="2">
        <f t="shared" si="32"/>
        <v>1000</v>
      </c>
      <c r="J85" s="2">
        <f t="shared" si="40"/>
        <v>996</v>
      </c>
      <c r="K85" s="2">
        <f t="shared" si="41"/>
        <v>0</v>
      </c>
      <c r="P85" s="2">
        <f t="shared" si="33"/>
        <v>0</v>
      </c>
      <c r="S85" s="2">
        <f t="shared" si="45"/>
        <v>80</v>
      </c>
      <c r="T85" s="2">
        <f t="shared" si="20"/>
        <v>26.5001</v>
      </c>
      <c r="U85" s="2">
        <f t="shared" si="42"/>
        <v>26.5001</v>
      </c>
      <c r="V85" s="2">
        <v>23</v>
      </c>
      <c r="W85" s="2">
        <v>5</v>
      </c>
      <c r="X85" s="2">
        <v>0.4</v>
      </c>
      <c r="Y85" s="2">
        <v>0.28000000000000003</v>
      </c>
      <c r="Z85" s="2">
        <v>0.3</v>
      </c>
      <c r="AB85" s="2">
        <f t="shared" si="43"/>
        <v>26.5001</v>
      </c>
      <c r="AC85" s="2">
        <f t="shared" si="44"/>
        <v>26.5001</v>
      </c>
      <c r="AD85" s="2">
        <f t="shared" si="34"/>
        <v>20</v>
      </c>
      <c r="AE85" s="2">
        <f t="shared" si="35"/>
        <v>4</v>
      </c>
      <c r="AF85" s="2">
        <f t="shared" si="36"/>
        <v>0.2</v>
      </c>
      <c r="AG85" s="2">
        <f t="shared" si="37"/>
        <v>0.31622776601683794</v>
      </c>
      <c r="AH85" s="2">
        <f t="shared" si="38"/>
        <v>0</v>
      </c>
    </row>
    <row r="86" spans="1:34">
      <c r="A86" s="11">
        <v>0</v>
      </c>
      <c r="B86" s="11" t="s">
        <v>0</v>
      </c>
      <c r="C86" s="11">
        <v>0</v>
      </c>
      <c r="D86" s="11">
        <v>0</v>
      </c>
      <c r="E86" s="11">
        <v>0</v>
      </c>
      <c r="F86" s="11">
        <v>0</v>
      </c>
      <c r="G86" s="75">
        <v>0</v>
      </c>
      <c r="H86" s="2">
        <f t="shared" si="39"/>
        <v>1.0000000000000001E-9</v>
      </c>
      <c r="I86" s="2">
        <f t="shared" si="32"/>
        <v>1000</v>
      </c>
      <c r="J86" s="2">
        <f t="shared" si="40"/>
        <v>996</v>
      </c>
      <c r="K86" s="2">
        <f t="shared" si="41"/>
        <v>0</v>
      </c>
      <c r="P86" s="2">
        <f t="shared" si="33"/>
        <v>0</v>
      </c>
      <c r="S86" s="2">
        <f t="shared" si="45"/>
        <v>81</v>
      </c>
      <c r="T86" s="2">
        <f t="shared" si="20"/>
        <v>26.5001</v>
      </c>
      <c r="U86" s="2">
        <f t="shared" si="42"/>
        <v>26.5001</v>
      </c>
      <c r="V86" s="2">
        <v>23</v>
      </c>
      <c r="W86" s="2">
        <v>5</v>
      </c>
      <c r="X86" s="2">
        <v>0.4</v>
      </c>
      <c r="Y86" s="2">
        <v>0.28000000000000003</v>
      </c>
      <c r="Z86" s="2">
        <v>0.3</v>
      </c>
      <c r="AB86" s="2">
        <f t="shared" si="43"/>
        <v>26.5001</v>
      </c>
      <c r="AC86" s="2">
        <f t="shared" si="44"/>
        <v>26.5001</v>
      </c>
      <c r="AD86" s="2">
        <f t="shared" si="34"/>
        <v>20</v>
      </c>
      <c r="AE86" s="2">
        <f t="shared" si="35"/>
        <v>4</v>
      </c>
      <c r="AF86" s="2">
        <f t="shared" si="36"/>
        <v>0.2</v>
      </c>
      <c r="AG86" s="2">
        <f t="shared" si="37"/>
        <v>0.31622776601683794</v>
      </c>
      <c r="AH86" s="2">
        <f t="shared" si="38"/>
        <v>0</v>
      </c>
    </row>
    <row r="87" spans="1:34">
      <c r="A87" s="11">
        <v>0</v>
      </c>
      <c r="B87" s="11" t="s">
        <v>0</v>
      </c>
      <c r="C87" s="11">
        <v>0</v>
      </c>
      <c r="D87" s="11">
        <v>0</v>
      </c>
      <c r="E87" s="11">
        <v>0</v>
      </c>
      <c r="F87" s="11">
        <v>0</v>
      </c>
      <c r="G87" s="75">
        <v>0</v>
      </c>
      <c r="H87" s="2">
        <f t="shared" si="39"/>
        <v>1.0000000000000001E-9</v>
      </c>
      <c r="I87" s="2">
        <f t="shared" si="32"/>
        <v>1000</v>
      </c>
      <c r="J87" s="2">
        <f t="shared" si="40"/>
        <v>996</v>
      </c>
      <c r="K87" s="2">
        <f t="shared" si="41"/>
        <v>0</v>
      </c>
      <c r="P87" s="2">
        <f t="shared" si="33"/>
        <v>0</v>
      </c>
      <c r="S87" s="2">
        <f t="shared" si="45"/>
        <v>82</v>
      </c>
      <c r="T87" s="2">
        <f t="shared" si="20"/>
        <v>26.5001</v>
      </c>
      <c r="U87" s="2">
        <f t="shared" si="42"/>
        <v>26.5001</v>
      </c>
      <c r="V87" s="2">
        <v>23</v>
      </c>
      <c r="W87" s="2">
        <v>5</v>
      </c>
      <c r="X87" s="2">
        <v>0.4</v>
      </c>
      <c r="Y87" s="2">
        <v>0.28000000000000003</v>
      </c>
      <c r="Z87" s="2">
        <v>0.3</v>
      </c>
      <c r="AB87" s="2">
        <f t="shared" si="43"/>
        <v>26.5001</v>
      </c>
      <c r="AC87" s="2">
        <f t="shared" si="44"/>
        <v>26.5001</v>
      </c>
      <c r="AD87" s="2">
        <f t="shared" si="34"/>
        <v>20</v>
      </c>
      <c r="AE87" s="2">
        <f t="shared" si="35"/>
        <v>4</v>
      </c>
      <c r="AF87" s="2">
        <f t="shared" si="36"/>
        <v>0.2</v>
      </c>
      <c r="AG87" s="2">
        <f t="shared" si="37"/>
        <v>0.31622776601683794</v>
      </c>
      <c r="AH87" s="2">
        <f t="shared" si="38"/>
        <v>0</v>
      </c>
    </row>
    <row r="88" spans="1:34">
      <c r="A88" s="11">
        <v>0</v>
      </c>
      <c r="B88" s="11" t="s">
        <v>0</v>
      </c>
      <c r="C88" s="11">
        <v>0</v>
      </c>
      <c r="D88" s="11">
        <v>0</v>
      </c>
      <c r="E88" s="11">
        <v>0</v>
      </c>
      <c r="F88" s="11">
        <v>0</v>
      </c>
      <c r="G88" s="75">
        <v>0</v>
      </c>
      <c r="H88" s="2">
        <f t="shared" si="39"/>
        <v>1.0000000000000001E-9</v>
      </c>
      <c r="I88" s="2">
        <f t="shared" si="32"/>
        <v>1000</v>
      </c>
      <c r="J88" s="2">
        <f t="shared" si="40"/>
        <v>996</v>
      </c>
      <c r="K88" s="2">
        <f t="shared" si="41"/>
        <v>0</v>
      </c>
      <c r="P88" s="2">
        <f t="shared" si="33"/>
        <v>0</v>
      </c>
      <c r="S88" s="2">
        <f t="shared" si="45"/>
        <v>83</v>
      </c>
      <c r="T88" s="2">
        <f t="shared" si="20"/>
        <v>26.5001</v>
      </c>
      <c r="U88" s="2">
        <f t="shared" si="42"/>
        <v>26.5001</v>
      </c>
      <c r="V88" s="2">
        <v>23</v>
      </c>
      <c r="W88" s="2">
        <v>5</v>
      </c>
      <c r="X88" s="2">
        <v>0.4</v>
      </c>
      <c r="Y88" s="2">
        <v>0.28000000000000003</v>
      </c>
      <c r="Z88" s="2">
        <v>0.3</v>
      </c>
      <c r="AB88" s="2">
        <f t="shared" si="43"/>
        <v>26.5001</v>
      </c>
      <c r="AC88" s="2">
        <f t="shared" si="44"/>
        <v>26.5001</v>
      </c>
      <c r="AD88" s="2">
        <f t="shared" si="34"/>
        <v>20</v>
      </c>
      <c r="AE88" s="2">
        <f t="shared" si="35"/>
        <v>4</v>
      </c>
      <c r="AF88" s="2">
        <f t="shared" si="36"/>
        <v>0.2</v>
      </c>
      <c r="AG88" s="2">
        <f t="shared" si="37"/>
        <v>0.31622776601683794</v>
      </c>
      <c r="AH88" s="2">
        <f t="shared" si="38"/>
        <v>0</v>
      </c>
    </row>
    <row r="89" spans="1:34">
      <c r="A89" s="11">
        <v>0</v>
      </c>
      <c r="B89" s="11" t="s">
        <v>0</v>
      </c>
      <c r="C89" s="11">
        <v>0</v>
      </c>
      <c r="D89" s="11">
        <v>0</v>
      </c>
      <c r="E89" s="11">
        <v>0</v>
      </c>
      <c r="F89" s="11">
        <v>0</v>
      </c>
      <c r="G89" s="75">
        <v>0</v>
      </c>
      <c r="H89" s="2">
        <f t="shared" si="39"/>
        <v>1.0000000000000001E-9</v>
      </c>
      <c r="I89" s="2">
        <f t="shared" si="32"/>
        <v>1000</v>
      </c>
      <c r="J89" s="2">
        <f t="shared" si="40"/>
        <v>996</v>
      </c>
      <c r="K89" s="2">
        <f t="shared" si="41"/>
        <v>0</v>
      </c>
      <c r="P89" s="2">
        <f t="shared" si="33"/>
        <v>0</v>
      </c>
      <c r="S89" s="2">
        <f t="shared" si="45"/>
        <v>84</v>
      </c>
      <c r="T89" s="2">
        <f t="shared" si="20"/>
        <v>26.5001</v>
      </c>
      <c r="U89" s="2">
        <f t="shared" si="42"/>
        <v>26.5001</v>
      </c>
      <c r="V89" s="2">
        <v>23</v>
      </c>
      <c r="W89" s="2">
        <v>5</v>
      </c>
      <c r="X89" s="2">
        <v>0.4</v>
      </c>
      <c r="Y89" s="2">
        <v>0.28000000000000003</v>
      </c>
      <c r="Z89" s="2">
        <v>0.3</v>
      </c>
      <c r="AB89" s="2">
        <f t="shared" si="43"/>
        <v>26.5001</v>
      </c>
      <c r="AC89" s="2">
        <f t="shared" si="44"/>
        <v>26.5001</v>
      </c>
      <c r="AD89" s="2">
        <f t="shared" si="34"/>
        <v>20</v>
      </c>
      <c r="AE89" s="2">
        <f t="shared" si="35"/>
        <v>4</v>
      </c>
      <c r="AF89" s="2">
        <f t="shared" si="36"/>
        <v>0.2</v>
      </c>
      <c r="AG89" s="2">
        <f t="shared" si="37"/>
        <v>0.31622776601683794</v>
      </c>
      <c r="AH89" s="2">
        <f t="shared" si="38"/>
        <v>0</v>
      </c>
    </row>
    <row r="90" spans="1:34">
      <c r="A90" s="11">
        <v>0</v>
      </c>
      <c r="B90" s="11" t="s">
        <v>0</v>
      </c>
      <c r="C90" s="11">
        <v>0</v>
      </c>
      <c r="D90" s="11">
        <v>0</v>
      </c>
      <c r="E90" s="11">
        <v>0</v>
      </c>
      <c r="F90" s="11">
        <v>0</v>
      </c>
      <c r="G90" s="75">
        <v>0</v>
      </c>
      <c r="H90" s="2">
        <f t="shared" si="39"/>
        <v>1.0000000000000001E-9</v>
      </c>
      <c r="I90" s="2">
        <f t="shared" si="32"/>
        <v>1000</v>
      </c>
      <c r="J90" s="2">
        <f t="shared" si="40"/>
        <v>996</v>
      </c>
      <c r="K90" s="2">
        <f t="shared" si="41"/>
        <v>0</v>
      </c>
      <c r="P90" s="2">
        <f t="shared" si="33"/>
        <v>0</v>
      </c>
      <c r="S90" s="2">
        <f t="shared" si="45"/>
        <v>85</v>
      </c>
      <c r="T90" s="2">
        <f t="shared" ref="T90:T107" si="46">IF($R$4&gt;=0,IF(T89&gt;=$R$5,$R$5+0.0001,T89+$R$4),IF(T89&lt;=$R$5,$R$5-0.0001,T89+$R$4))</f>
        <v>26.5001</v>
      </c>
      <c r="U90" s="2">
        <f t="shared" si="42"/>
        <v>26.5001</v>
      </c>
      <c r="V90" s="2">
        <v>23</v>
      </c>
      <c r="W90" s="2">
        <v>5</v>
      </c>
      <c r="X90" s="2">
        <v>0.4</v>
      </c>
      <c r="Y90" s="2">
        <v>0.28000000000000003</v>
      </c>
      <c r="Z90" s="2">
        <v>0.3</v>
      </c>
      <c r="AB90" s="2">
        <f t="shared" si="43"/>
        <v>26.5001</v>
      </c>
      <c r="AC90" s="2">
        <f t="shared" si="44"/>
        <v>26.5001</v>
      </c>
      <c r="AD90" s="2">
        <f t="shared" si="34"/>
        <v>20</v>
      </c>
      <c r="AE90" s="2">
        <f t="shared" si="35"/>
        <v>4</v>
      </c>
      <c r="AF90" s="2">
        <f t="shared" si="36"/>
        <v>0.2</v>
      </c>
      <c r="AG90" s="2">
        <f t="shared" si="37"/>
        <v>0.31622776601683794</v>
      </c>
      <c r="AH90" s="2">
        <f t="shared" si="38"/>
        <v>0</v>
      </c>
    </row>
    <row r="91" spans="1:34">
      <c r="A91" s="11">
        <v>0</v>
      </c>
      <c r="B91" s="11" t="s">
        <v>0</v>
      </c>
      <c r="C91" s="11">
        <v>0</v>
      </c>
      <c r="D91" s="11">
        <v>0</v>
      </c>
      <c r="E91" s="11">
        <v>0</v>
      </c>
      <c r="F91" s="11">
        <v>0</v>
      </c>
      <c r="G91" s="75">
        <v>0</v>
      </c>
      <c r="H91" s="2">
        <f t="shared" si="39"/>
        <v>1.0000000000000001E-9</v>
      </c>
      <c r="I91" s="2">
        <f t="shared" si="32"/>
        <v>1000</v>
      </c>
      <c r="J91" s="2">
        <f t="shared" si="40"/>
        <v>996</v>
      </c>
      <c r="K91" s="2">
        <f t="shared" si="41"/>
        <v>0</v>
      </c>
      <c r="P91" s="2">
        <f t="shared" si="33"/>
        <v>0</v>
      </c>
      <c r="S91" s="2">
        <f t="shared" si="45"/>
        <v>86</v>
      </c>
      <c r="T91" s="2">
        <f t="shared" si="46"/>
        <v>26.5001</v>
      </c>
      <c r="U91" s="2">
        <f t="shared" si="42"/>
        <v>26.5001</v>
      </c>
      <c r="V91" s="2">
        <v>23</v>
      </c>
      <c r="W91" s="2">
        <v>5</v>
      </c>
      <c r="X91" s="2">
        <v>0.4</v>
      </c>
      <c r="Y91" s="2">
        <v>0.28000000000000003</v>
      </c>
      <c r="Z91" s="2">
        <v>0.3</v>
      </c>
      <c r="AB91" s="2">
        <f t="shared" si="43"/>
        <v>26.5001</v>
      </c>
      <c r="AC91" s="2">
        <f t="shared" si="44"/>
        <v>26.5001</v>
      </c>
      <c r="AD91" s="2">
        <f t="shared" si="34"/>
        <v>20</v>
      </c>
      <c r="AE91" s="2">
        <f t="shared" si="35"/>
        <v>4</v>
      </c>
      <c r="AF91" s="2">
        <f t="shared" si="36"/>
        <v>0.2</v>
      </c>
      <c r="AG91" s="2">
        <f t="shared" si="37"/>
        <v>0.31622776601683794</v>
      </c>
      <c r="AH91" s="2">
        <f t="shared" si="38"/>
        <v>0</v>
      </c>
    </row>
    <row r="92" spans="1:34">
      <c r="A92" s="11">
        <v>0</v>
      </c>
      <c r="B92" s="11" t="s">
        <v>0</v>
      </c>
      <c r="C92" s="11">
        <v>0</v>
      </c>
      <c r="D92" s="11">
        <v>0</v>
      </c>
      <c r="E92" s="11">
        <v>0</v>
      </c>
      <c r="F92" s="11">
        <v>0</v>
      </c>
      <c r="G92" s="75">
        <v>0</v>
      </c>
      <c r="H92" s="2">
        <f t="shared" si="39"/>
        <v>1.0000000000000001E-9</v>
      </c>
      <c r="I92" s="2">
        <f t="shared" si="32"/>
        <v>1000</v>
      </c>
      <c r="J92" s="2">
        <f t="shared" si="40"/>
        <v>996</v>
      </c>
      <c r="K92" s="2">
        <f t="shared" si="41"/>
        <v>0</v>
      </c>
      <c r="P92" s="2">
        <f t="shared" si="33"/>
        <v>0</v>
      </c>
      <c r="S92" s="2">
        <f t="shared" si="45"/>
        <v>87</v>
      </c>
      <c r="T92" s="2">
        <f t="shared" si="46"/>
        <v>26.5001</v>
      </c>
      <c r="U92" s="2">
        <f t="shared" si="42"/>
        <v>26.5001</v>
      </c>
      <c r="V92" s="2">
        <v>23</v>
      </c>
      <c r="W92" s="2">
        <v>5</v>
      </c>
      <c r="X92" s="2">
        <v>0.4</v>
      </c>
      <c r="Y92" s="2">
        <v>0.28000000000000003</v>
      </c>
      <c r="Z92" s="2">
        <v>0.3</v>
      </c>
      <c r="AB92" s="2">
        <f t="shared" si="43"/>
        <v>26.5001</v>
      </c>
      <c r="AC92" s="2">
        <f t="shared" si="44"/>
        <v>26.5001</v>
      </c>
      <c r="AD92" s="2">
        <f t="shared" si="34"/>
        <v>20</v>
      </c>
      <c r="AE92" s="2">
        <f t="shared" si="35"/>
        <v>4</v>
      </c>
      <c r="AF92" s="2">
        <f t="shared" si="36"/>
        <v>0.2</v>
      </c>
      <c r="AG92" s="2">
        <f t="shared" si="37"/>
        <v>0.31622776601683794</v>
      </c>
      <c r="AH92" s="2">
        <f t="shared" si="38"/>
        <v>0</v>
      </c>
    </row>
    <row r="93" spans="1:34">
      <c r="A93" s="11">
        <v>0</v>
      </c>
      <c r="B93" s="11" t="s">
        <v>0</v>
      </c>
      <c r="C93" s="11">
        <v>0</v>
      </c>
      <c r="D93" s="11">
        <v>0</v>
      </c>
      <c r="E93" s="11">
        <v>0</v>
      </c>
      <c r="F93" s="11">
        <v>0</v>
      </c>
      <c r="G93" s="75">
        <v>0</v>
      </c>
      <c r="H93" s="2">
        <f t="shared" si="39"/>
        <v>1.0000000000000001E-9</v>
      </c>
      <c r="I93" s="2">
        <f t="shared" si="32"/>
        <v>1000</v>
      </c>
      <c r="J93" s="2">
        <f t="shared" si="40"/>
        <v>996</v>
      </c>
      <c r="K93" s="2">
        <f t="shared" si="41"/>
        <v>0</v>
      </c>
      <c r="P93" s="2">
        <f t="shared" si="33"/>
        <v>0</v>
      </c>
      <c r="S93" s="2">
        <f t="shared" si="45"/>
        <v>88</v>
      </c>
      <c r="T93" s="2">
        <f t="shared" si="46"/>
        <v>26.5001</v>
      </c>
      <c r="U93" s="2">
        <f t="shared" si="42"/>
        <v>26.5001</v>
      </c>
      <c r="V93" s="2">
        <v>23</v>
      </c>
      <c r="W93" s="2">
        <v>5</v>
      </c>
      <c r="X93" s="2">
        <v>0.4</v>
      </c>
      <c r="Y93" s="2">
        <v>0.28000000000000003</v>
      </c>
      <c r="Z93" s="2">
        <v>0.3</v>
      </c>
      <c r="AB93" s="2">
        <f t="shared" si="43"/>
        <v>26.5001</v>
      </c>
      <c r="AC93" s="2">
        <f t="shared" si="44"/>
        <v>26.5001</v>
      </c>
      <c r="AD93" s="2">
        <f t="shared" si="34"/>
        <v>20</v>
      </c>
      <c r="AE93" s="2">
        <f t="shared" si="35"/>
        <v>4</v>
      </c>
      <c r="AF93" s="2">
        <f t="shared" si="36"/>
        <v>0.2</v>
      </c>
      <c r="AG93" s="2">
        <f t="shared" si="37"/>
        <v>0.31622776601683794</v>
      </c>
      <c r="AH93" s="2">
        <f t="shared" si="38"/>
        <v>0</v>
      </c>
    </row>
    <row r="94" spans="1:34">
      <c r="A94" s="11">
        <v>0</v>
      </c>
      <c r="B94" s="11" t="s">
        <v>0</v>
      </c>
      <c r="C94" s="11">
        <v>0</v>
      </c>
      <c r="D94" s="11">
        <v>0</v>
      </c>
      <c r="E94" s="11">
        <v>0</v>
      </c>
      <c r="F94" s="11">
        <v>0</v>
      </c>
      <c r="G94" s="75">
        <v>0</v>
      </c>
      <c r="H94" s="2">
        <f t="shared" si="39"/>
        <v>1.0000000000000001E-9</v>
      </c>
      <c r="I94" s="2">
        <f t="shared" si="32"/>
        <v>1000</v>
      </c>
      <c r="J94" s="2">
        <f t="shared" si="40"/>
        <v>996</v>
      </c>
      <c r="K94" s="2">
        <f t="shared" si="41"/>
        <v>0</v>
      </c>
      <c r="P94" s="2">
        <f t="shared" si="33"/>
        <v>0</v>
      </c>
      <c r="S94" s="2">
        <f t="shared" si="45"/>
        <v>89</v>
      </c>
      <c r="T94" s="2">
        <f t="shared" si="46"/>
        <v>26.5001</v>
      </c>
      <c r="U94" s="2">
        <f t="shared" si="42"/>
        <v>26.5001</v>
      </c>
      <c r="V94" s="2">
        <v>23</v>
      </c>
      <c r="W94" s="2">
        <v>5</v>
      </c>
      <c r="X94" s="2">
        <v>0.4</v>
      </c>
      <c r="Y94" s="2">
        <v>0.28000000000000003</v>
      </c>
      <c r="Z94" s="2">
        <v>0.3</v>
      </c>
      <c r="AB94" s="2">
        <f t="shared" si="43"/>
        <v>26.5001</v>
      </c>
      <c r="AC94" s="2">
        <f t="shared" si="44"/>
        <v>26.5001</v>
      </c>
      <c r="AD94" s="2">
        <f t="shared" si="34"/>
        <v>20</v>
      </c>
      <c r="AE94" s="2">
        <f t="shared" si="35"/>
        <v>4</v>
      </c>
      <c r="AF94" s="2">
        <f t="shared" si="36"/>
        <v>0.2</v>
      </c>
      <c r="AG94" s="2">
        <f t="shared" si="37"/>
        <v>0.31622776601683794</v>
      </c>
      <c r="AH94" s="2">
        <f t="shared" si="38"/>
        <v>0</v>
      </c>
    </row>
    <row r="95" spans="1:34">
      <c r="A95" s="11">
        <v>0</v>
      </c>
      <c r="B95" s="11" t="s">
        <v>0</v>
      </c>
      <c r="C95" s="11">
        <v>0</v>
      </c>
      <c r="D95" s="11">
        <v>0</v>
      </c>
      <c r="E95" s="11">
        <v>0</v>
      </c>
      <c r="F95" s="11">
        <v>0</v>
      </c>
      <c r="G95" s="75">
        <v>0</v>
      </c>
      <c r="H95" s="2">
        <f t="shared" si="39"/>
        <v>1.0000000000000001E-9</v>
      </c>
      <c r="I95" s="2">
        <f t="shared" si="32"/>
        <v>1000</v>
      </c>
      <c r="J95" s="2">
        <f t="shared" si="40"/>
        <v>996</v>
      </c>
      <c r="K95" s="2">
        <f t="shared" si="41"/>
        <v>0</v>
      </c>
      <c r="P95" s="2">
        <f t="shared" si="33"/>
        <v>0</v>
      </c>
      <c r="S95" s="2">
        <f t="shared" si="45"/>
        <v>90</v>
      </c>
      <c r="T95" s="2">
        <f t="shared" si="46"/>
        <v>26.5001</v>
      </c>
      <c r="U95" s="2">
        <f t="shared" si="42"/>
        <v>26.5001</v>
      </c>
      <c r="V95" s="2">
        <v>23</v>
      </c>
      <c r="W95" s="2">
        <v>5</v>
      </c>
      <c r="X95" s="2">
        <v>0.4</v>
      </c>
      <c r="Y95" s="2">
        <v>0.28000000000000003</v>
      </c>
      <c r="Z95" s="2">
        <v>0.3</v>
      </c>
      <c r="AB95" s="2">
        <f t="shared" si="43"/>
        <v>26.5001</v>
      </c>
      <c r="AC95" s="2">
        <f t="shared" si="44"/>
        <v>26.5001</v>
      </c>
      <c r="AD95" s="2">
        <f t="shared" si="34"/>
        <v>20</v>
      </c>
      <c r="AE95" s="2">
        <f t="shared" si="35"/>
        <v>4</v>
      </c>
      <c r="AF95" s="2">
        <f t="shared" si="36"/>
        <v>0.2</v>
      </c>
      <c r="AG95" s="2">
        <f t="shared" si="37"/>
        <v>0.31622776601683794</v>
      </c>
      <c r="AH95" s="2">
        <f t="shared" si="38"/>
        <v>0</v>
      </c>
    </row>
    <row r="96" spans="1:34">
      <c r="A96" s="11">
        <v>0</v>
      </c>
      <c r="B96" s="11" t="s">
        <v>0</v>
      </c>
      <c r="C96" s="11">
        <v>0</v>
      </c>
      <c r="D96" s="11">
        <v>0</v>
      </c>
      <c r="E96" s="11">
        <v>0</v>
      </c>
      <c r="F96" s="11">
        <v>0</v>
      </c>
      <c r="G96" s="75">
        <v>0</v>
      </c>
      <c r="H96" s="2">
        <f t="shared" si="39"/>
        <v>1.0000000000000001E-9</v>
      </c>
      <c r="I96" s="2">
        <f t="shared" si="32"/>
        <v>1000</v>
      </c>
      <c r="J96" s="2">
        <f t="shared" si="40"/>
        <v>996</v>
      </c>
      <c r="K96" s="2">
        <f t="shared" si="41"/>
        <v>0</v>
      </c>
      <c r="P96" s="2">
        <f t="shared" si="33"/>
        <v>0</v>
      </c>
      <c r="S96" s="2">
        <f t="shared" si="45"/>
        <v>91</v>
      </c>
      <c r="T96" s="2">
        <f t="shared" si="46"/>
        <v>26.5001</v>
      </c>
      <c r="U96" s="2">
        <f t="shared" si="42"/>
        <v>26.5001</v>
      </c>
      <c r="V96" s="2">
        <v>23</v>
      </c>
      <c r="W96" s="2">
        <v>5</v>
      </c>
      <c r="X96" s="2">
        <v>0.4</v>
      </c>
      <c r="Y96" s="2">
        <v>0.28000000000000003</v>
      </c>
      <c r="Z96" s="2">
        <v>0.3</v>
      </c>
      <c r="AB96" s="2">
        <f t="shared" si="43"/>
        <v>26.5001</v>
      </c>
      <c r="AC96" s="2">
        <f t="shared" si="44"/>
        <v>26.5001</v>
      </c>
      <c r="AD96" s="2">
        <f t="shared" si="34"/>
        <v>20</v>
      </c>
      <c r="AE96" s="2">
        <f t="shared" si="35"/>
        <v>4</v>
      </c>
      <c r="AF96" s="2">
        <f t="shared" si="36"/>
        <v>0.2</v>
      </c>
      <c r="AG96" s="2">
        <f t="shared" si="37"/>
        <v>0.31622776601683794</v>
      </c>
      <c r="AH96" s="2">
        <f t="shared" si="38"/>
        <v>0</v>
      </c>
    </row>
    <row r="97" spans="1:34">
      <c r="A97" s="11">
        <v>0</v>
      </c>
      <c r="B97" s="11" t="s">
        <v>0</v>
      </c>
      <c r="C97" s="11">
        <v>0</v>
      </c>
      <c r="D97" s="11">
        <v>0</v>
      </c>
      <c r="E97" s="11">
        <v>0</v>
      </c>
      <c r="F97" s="11">
        <v>0</v>
      </c>
      <c r="G97" s="75">
        <v>0</v>
      </c>
      <c r="H97" s="2">
        <f t="shared" si="39"/>
        <v>1.0000000000000001E-9</v>
      </c>
      <c r="I97" s="2">
        <f t="shared" si="32"/>
        <v>1000</v>
      </c>
      <c r="J97" s="2">
        <f t="shared" si="40"/>
        <v>996</v>
      </c>
      <c r="K97" s="2">
        <f t="shared" si="41"/>
        <v>0</v>
      </c>
      <c r="P97" s="2">
        <f t="shared" si="33"/>
        <v>0</v>
      </c>
      <c r="S97" s="2">
        <f t="shared" si="45"/>
        <v>92</v>
      </c>
      <c r="T97" s="2">
        <f t="shared" si="46"/>
        <v>26.5001</v>
      </c>
      <c r="U97" s="2">
        <f t="shared" si="42"/>
        <v>26.5001</v>
      </c>
      <c r="V97" s="2">
        <v>23</v>
      </c>
      <c r="W97" s="2">
        <v>5</v>
      </c>
      <c r="X97" s="2">
        <v>0.4</v>
      </c>
      <c r="Y97" s="2">
        <v>0.28000000000000003</v>
      </c>
      <c r="Z97" s="2">
        <v>0.3</v>
      </c>
      <c r="AB97" s="2">
        <f t="shared" si="43"/>
        <v>26.5001</v>
      </c>
      <c r="AC97" s="2">
        <f t="shared" si="44"/>
        <v>26.5001</v>
      </c>
      <c r="AD97" s="2">
        <f t="shared" si="34"/>
        <v>20</v>
      </c>
      <c r="AE97" s="2">
        <f t="shared" si="35"/>
        <v>4</v>
      </c>
      <c r="AF97" s="2">
        <f t="shared" si="36"/>
        <v>0.2</v>
      </c>
      <c r="AG97" s="2">
        <f t="shared" si="37"/>
        <v>0.31622776601683794</v>
      </c>
      <c r="AH97" s="2">
        <f t="shared" si="38"/>
        <v>0</v>
      </c>
    </row>
    <row r="98" spans="1:34">
      <c r="A98" s="11">
        <v>0</v>
      </c>
      <c r="B98" s="11" t="s">
        <v>0</v>
      </c>
      <c r="C98" s="11">
        <v>0</v>
      </c>
      <c r="D98" s="11">
        <v>0</v>
      </c>
      <c r="E98" s="11">
        <v>0</v>
      </c>
      <c r="F98" s="11">
        <v>0</v>
      </c>
      <c r="G98" s="75">
        <v>0</v>
      </c>
      <c r="H98" s="2">
        <f t="shared" si="39"/>
        <v>1.0000000000000001E-9</v>
      </c>
      <c r="I98" s="2">
        <f t="shared" si="32"/>
        <v>1000</v>
      </c>
      <c r="J98" s="2">
        <f t="shared" si="40"/>
        <v>996</v>
      </c>
      <c r="K98" s="2">
        <f t="shared" si="41"/>
        <v>0</v>
      </c>
      <c r="P98" s="2">
        <f t="shared" si="33"/>
        <v>0</v>
      </c>
      <c r="S98" s="2">
        <f t="shared" si="45"/>
        <v>93</v>
      </c>
      <c r="T98" s="2">
        <f t="shared" si="46"/>
        <v>26.5001</v>
      </c>
      <c r="U98" s="2">
        <f t="shared" si="42"/>
        <v>26.5001</v>
      </c>
      <c r="V98" s="2">
        <v>23</v>
      </c>
      <c r="W98" s="2">
        <v>5</v>
      </c>
      <c r="X98" s="2">
        <v>0.4</v>
      </c>
      <c r="Y98" s="2">
        <v>0.28000000000000003</v>
      </c>
      <c r="Z98" s="2">
        <v>0.3</v>
      </c>
      <c r="AB98" s="2">
        <f t="shared" si="43"/>
        <v>26.5001</v>
      </c>
      <c r="AC98" s="2">
        <f t="shared" si="44"/>
        <v>26.5001</v>
      </c>
      <c r="AD98" s="2">
        <f t="shared" si="34"/>
        <v>20</v>
      </c>
      <c r="AE98" s="2">
        <f t="shared" si="35"/>
        <v>4</v>
      </c>
      <c r="AF98" s="2">
        <f t="shared" si="36"/>
        <v>0.2</v>
      </c>
      <c r="AG98" s="2">
        <f t="shared" si="37"/>
        <v>0.31622776601683794</v>
      </c>
      <c r="AH98" s="2">
        <f t="shared" si="38"/>
        <v>0</v>
      </c>
    </row>
    <row r="99" spans="1:34">
      <c r="A99" s="11">
        <v>0</v>
      </c>
      <c r="B99" s="11" t="s">
        <v>0</v>
      </c>
      <c r="C99" s="11">
        <v>0</v>
      </c>
      <c r="D99" s="11">
        <v>0</v>
      </c>
      <c r="E99" s="11">
        <v>0</v>
      </c>
      <c r="F99" s="11">
        <v>0</v>
      </c>
      <c r="G99" s="75">
        <v>0</v>
      </c>
      <c r="H99" s="2">
        <f t="shared" si="39"/>
        <v>1.0000000000000001E-9</v>
      </c>
      <c r="I99" s="2">
        <f t="shared" si="32"/>
        <v>1000</v>
      </c>
      <c r="J99" s="2">
        <f t="shared" si="40"/>
        <v>996</v>
      </c>
      <c r="K99" s="2">
        <f t="shared" si="41"/>
        <v>0</v>
      </c>
      <c r="P99" s="2">
        <f t="shared" si="33"/>
        <v>0</v>
      </c>
      <c r="S99" s="2">
        <f t="shared" si="45"/>
        <v>94</v>
      </c>
      <c r="T99" s="2">
        <f t="shared" si="46"/>
        <v>26.5001</v>
      </c>
      <c r="U99" s="2">
        <f t="shared" si="42"/>
        <v>26.5001</v>
      </c>
      <c r="V99" s="2">
        <v>23</v>
      </c>
      <c r="W99" s="2">
        <v>5</v>
      </c>
      <c r="X99" s="2">
        <v>0.4</v>
      </c>
      <c r="Y99" s="2">
        <v>0.28000000000000003</v>
      </c>
      <c r="Z99" s="2">
        <v>0.3</v>
      </c>
      <c r="AB99" s="2">
        <f t="shared" si="43"/>
        <v>26.5001</v>
      </c>
      <c r="AC99" s="2">
        <f t="shared" si="44"/>
        <v>26.5001</v>
      </c>
      <c r="AD99" s="2">
        <f t="shared" si="34"/>
        <v>20</v>
      </c>
      <c r="AE99" s="2">
        <f t="shared" si="35"/>
        <v>4</v>
      </c>
      <c r="AF99" s="2">
        <f t="shared" si="36"/>
        <v>0.2</v>
      </c>
      <c r="AG99" s="2">
        <f t="shared" si="37"/>
        <v>0.31622776601683794</v>
      </c>
      <c r="AH99" s="2">
        <f t="shared" si="38"/>
        <v>0</v>
      </c>
    </row>
    <row r="100" spans="1:34">
      <c r="A100" s="11">
        <v>0</v>
      </c>
      <c r="B100" s="11" t="s">
        <v>0</v>
      </c>
      <c r="C100" s="11">
        <v>0</v>
      </c>
      <c r="D100" s="11">
        <v>0</v>
      </c>
      <c r="E100" s="11">
        <v>0</v>
      </c>
      <c r="F100" s="11">
        <v>0</v>
      </c>
      <c r="G100" s="75">
        <v>0</v>
      </c>
      <c r="H100" s="2">
        <f t="shared" si="39"/>
        <v>1.0000000000000001E-9</v>
      </c>
      <c r="I100" s="2">
        <f t="shared" si="32"/>
        <v>1000</v>
      </c>
      <c r="J100" s="2">
        <f t="shared" si="40"/>
        <v>996</v>
      </c>
      <c r="K100" s="2">
        <f t="shared" si="41"/>
        <v>0</v>
      </c>
      <c r="P100" s="2">
        <f t="shared" si="33"/>
        <v>0</v>
      </c>
      <c r="S100" s="2">
        <f t="shared" si="45"/>
        <v>95</v>
      </c>
      <c r="T100" s="2">
        <f t="shared" si="46"/>
        <v>26.5001</v>
      </c>
      <c r="U100" s="2">
        <f t="shared" si="42"/>
        <v>26.5001</v>
      </c>
      <c r="V100" s="2">
        <v>23</v>
      </c>
      <c r="W100" s="2">
        <v>5</v>
      </c>
      <c r="X100" s="2">
        <v>0.4</v>
      </c>
      <c r="Y100" s="2">
        <v>0.28000000000000003</v>
      </c>
      <c r="Z100" s="2">
        <v>0.3</v>
      </c>
      <c r="AB100" s="2">
        <f t="shared" si="43"/>
        <v>26.5001</v>
      </c>
      <c r="AC100" s="2">
        <f t="shared" si="44"/>
        <v>26.5001</v>
      </c>
      <c r="AD100" s="2">
        <f t="shared" si="34"/>
        <v>20</v>
      </c>
      <c r="AE100" s="2">
        <f t="shared" si="35"/>
        <v>4</v>
      </c>
      <c r="AF100" s="2">
        <f t="shared" si="36"/>
        <v>0.2</v>
      </c>
      <c r="AG100" s="2">
        <f t="shared" si="37"/>
        <v>0.31622776601683794</v>
      </c>
      <c r="AH100" s="2">
        <f t="shared" si="38"/>
        <v>0</v>
      </c>
    </row>
    <row r="101" spans="1:34">
      <c r="A101" s="11">
        <v>0</v>
      </c>
      <c r="B101" s="11" t="s">
        <v>0</v>
      </c>
      <c r="C101" s="11">
        <v>0</v>
      </c>
      <c r="D101" s="11">
        <v>0</v>
      </c>
      <c r="E101" s="11">
        <v>0</v>
      </c>
      <c r="F101" s="11">
        <v>0</v>
      </c>
      <c r="G101" s="75">
        <v>0</v>
      </c>
      <c r="H101" s="2">
        <f t="shared" si="39"/>
        <v>1.0000000000000001E-9</v>
      </c>
      <c r="I101" s="2">
        <f t="shared" si="32"/>
        <v>1000</v>
      </c>
      <c r="J101" s="2">
        <f t="shared" si="40"/>
        <v>996</v>
      </c>
      <c r="K101" s="2">
        <f t="shared" si="41"/>
        <v>0</v>
      </c>
      <c r="P101" s="2">
        <f t="shared" si="33"/>
        <v>0</v>
      </c>
      <c r="S101" s="2">
        <f t="shared" si="45"/>
        <v>96</v>
      </c>
      <c r="T101" s="2">
        <f t="shared" si="46"/>
        <v>26.5001</v>
      </c>
      <c r="U101" s="2">
        <f t="shared" si="42"/>
        <v>26.5001</v>
      </c>
      <c r="V101" s="2">
        <v>23</v>
      </c>
      <c r="W101" s="2">
        <v>5</v>
      </c>
      <c r="X101" s="2">
        <v>0.4</v>
      </c>
      <c r="Y101" s="2">
        <v>0.28000000000000003</v>
      </c>
      <c r="Z101" s="2">
        <v>0.3</v>
      </c>
      <c r="AB101" s="2">
        <f t="shared" si="43"/>
        <v>26.5001</v>
      </c>
      <c r="AC101" s="2">
        <f t="shared" si="44"/>
        <v>26.5001</v>
      </c>
      <c r="AD101" s="2">
        <f t="shared" si="34"/>
        <v>20</v>
      </c>
      <c r="AE101" s="2">
        <f t="shared" si="35"/>
        <v>4</v>
      </c>
      <c r="AF101" s="2">
        <f t="shared" si="36"/>
        <v>0.2</v>
      </c>
      <c r="AG101" s="2">
        <f t="shared" si="37"/>
        <v>0.31622776601683794</v>
      </c>
      <c r="AH101" s="2">
        <f t="shared" si="38"/>
        <v>0</v>
      </c>
    </row>
    <row r="102" spans="1:34">
      <c r="A102" s="11">
        <v>0</v>
      </c>
      <c r="B102" s="11" t="s">
        <v>0</v>
      </c>
      <c r="C102" s="11">
        <v>0</v>
      </c>
      <c r="D102" s="11">
        <v>0</v>
      </c>
      <c r="E102" s="11">
        <v>0</v>
      </c>
      <c r="F102" s="11">
        <v>0</v>
      </c>
      <c r="S102" s="2">
        <f t="shared" si="45"/>
        <v>97</v>
      </c>
      <c r="T102" s="2">
        <f t="shared" si="46"/>
        <v>26.5001</v>
      </c>
      <c r="U102" s="2">
        <f t="shared" si="42"/>
        <v>26.5001</v>
      </c>
      <c r="V102" s="2">
        <v>23</v>
      </c>
      <c r="W102" s="2">
        <v>5</v>
      </c>
      <c r="X102" s="2">
        <v>0.4</v>
      </c>
      <c r="Y102" s="2">
        <v>0.28000000000000003</v>
      </c>
      <c r="Z102" s="2">
        <v>0.3</v>
      </c>
      <c r="AB102" s="2">
        <f t="shared" si="43"/>
        <v>26.5001</v>
      </c>
      <c r="AC102" s="2">
        <f t="shared" si="44"/>
        <v>26.5001</v>
      </c>
      <c r="AD102" s="2">
        <f t="shared" ref="AD102:AD107" si="47">(IF(DUT_DataType=1,SF_DUTGain,V102))</f>
        <v>20</v>
      </c>
      <c r="AE102" s="2">
        <f t="shared" ref="AE102:AE107" si="48">IF(DUT_DataType=1,SF_DUTNF,W102)</f>
        <v>4</v>
      </c>
      <c r="AF102" s="2">
        <f t="shared" ref="AF102:AF107" si="49">IF(DUT_DataType=1,SF_DUTGamIn,X102)</f>
        <v>0.2</v>
      </c>
      <c r="AG102" s="2">
        <f t="shared" ref="AG102:AG107" si="50">IF(DUT_DataType=1,SF_DUTGamOut,Y102)</f>
        <v>0.31622776601683794</v>
      </c>
      <c r="AH102" s="2">
        <f t="shared" ref="AH102:AH107" si="51">UseReverse*IF(DUT_DataType=1,SF_DUT_RevRatio,Z102)</f>
        <v>0</v>
      </c>
    </row>
    <row r="103" spans="1:34">
      <c r="A103" s="11">
        <v>0</v>
      </c>
      <c r="B103" s="11" t="s">
        <v>0</v>
      </c>
      <c r="C103" s="11">
        <v>0</v>
      </c>
      <c r="D103" s="11">
        <v>0</v>
      </c>
      <c r="E103" s="11">
        <v>0</v>
      </c>
      <c r="F103" s="11">
        <v>0</v>
      </c>
      <c r="S103" s="2">
        <f t="shared" si="45"/>
        <v>98</v>
      </c>
      <c r="T103" s="2">
        <f t="shared" si="46"/>
        <v>26.5001</v>
      </c>
      <c r="U103" s="2">
        <f t="shared" si="42"/>
        <v>26.5001</v>
      </c>
      <c r="V103" s="2">
        <v>23</v>
      </c>
      <c r="W103" s="2">
        <v>5</v>
      </c>
      <c r="X103" s="2">
        <v>0.4</v>
      </c>
      <c r="Y103" s="2">
        <v>0.28000000000000003</v>
      </c>
      <c r="Z103" s="2">
        <v>0.3</v>
      </c>
      <c r="AB103" s="2">
        <f t="shared" si="43"/>
        <v>26.5001</v>
      </c>
      <c r="AC103" s="2">
        <f t="shared" si="44"/>
        <v>26.5001</v>
      </c>
      <c r="AD103" s="2">
        <f t="shared" si="47"/>
        <v>20</v>
      </c>
      <c r="AE103" s="2">
        <f t="shared" si="48"/>
        <v>4</v>
      </c>
      <c r="AF103" s="2">
        <f t="shared" si="49"/>
        <v>0.2</v>
      </c>
      <c r="AG103" s="2">
        <f t="shared" si="50"/>
        <v>0.31622776601683794</v>
      </c>
      <c r="AH103" s="2">
        <f t="shared" si="51"/>
        <v>0</v>
      </c>
    </row>
    <row r="104" spans="1:34">
      <c r="A104" s="11">
        <v>0</v>
      </c>
      <c r="B104" s="11" t="s">
        <v>0</v>
      </c>
      <c r="C104" s="11">
        <v>0</v>
      </c>
      <c r="D104" s="11">
        <v>0</v>
      </c>
      <c r="E104" s="11">
        <v>0</v>
      </c>
      <c r="F104" s="11">
        <v>0</v>
      </c>
      <c r="S104" s="2">
        <f t="shared" si="45"/>
        <v>99</v>
      </c>
      <c r="T104" s="2">
        <f t="shared" si="46"/>
        <v>26.5001</v>
      </c>
      <c r="U104" s="2">
        <f t="shared" si="42"/>
        <v>26.5001</v>
      </c>
      <c r="V104" s="2">
        <v>23</v>
      </c>
      <c r="W104" s="2">
        <v>5</v>
      </c>
      <c r="X104" s="2">
        <v>0.4</v>
      </c>
      <c r="Y104" s="2">
        <v>0.28000000000000003</v>
      </c>
      <c r="Z104" s="2">
        <v>0.3</v>
      </c>
      <c r="AB104" s="2">
        <f t="shared" si="43"/>
        <v>26.5001</v>
      </c>
      <c r="AC104" s="2">
        <f t="shared" si="44"/>
        <v>26.5001</v>
      </c>
      <c r="AD104" s="2">
        <f t="shared" si="47"/>
        <v>20</v>
      </c>
      <c r="AE104" s="2">
        <f t="shared" si="48"/>
        <v>4</v>
      </c>
      <c r="AF104" s="2">
        <f t="shared" si="49"/>
        <v>0.2</v>
      </c>
      <c r="AG104" s="2">
        <f t="shared" si="50"/>
        <v>0.31622776601683794</v>
      </c>
      <c r="AH104" s="2">
        <f t="shared" si="51"/>
        <v>0</v>
      </c>
    </row>
    <row r="105" spans="1:34">
      <c r="A105" s="11">
        <v>0</v>
      </c>
      <c r="B105" s="11" t="s">
        <v>0</v>
      </c>
      <c r="C105" s="11">
        <v>0</v>
      </c>
      <c r="D105" s="11">
        <v>0</v>
      </c>
      <c r="E105" s="11">
        <v>0</v>
      </c>
      <c r="F105" s="11">
        <v>0</v>
      </c>
      <c r="S105" s="2">
        <f t="shared" si="45"/>
        <v>100</v>
      </c>
      <c r="T105" s="2">
        <f t="shared" si="46"/>
        <v>26.5001</v>
      </c>
      <c r="U105" s="2">
        <f t="shared" si="42"/>
        <v>26.5001</v>
      </c>
      <c r="V105" s="2">
        <v>23</v>
      </c>
      <c r="W105" s="2">
        <v>5</v>
      </c>
      <c r="X105" s="2">
        <v>0.4</v>
      </c>
      <c r="Y105" s="2">
        <v>0.28000000000000003</v>
      </c>
      <c r="Z105" s="2">
        <v>0.3</v>
      </c>
      <c r="AB105" s="2">
        <f t="shared" si="43"/>
        <v>26.5001</v>
      </c>
      <c r="AC105" s="2">
        <f t="shared" si="44"/>
        <v>26.5001</v>
      </c>
      <c r="AD105" s="2">
        <f t="shared" si="47"/>
        <v>20</v>
      </c>
      <c r="AE105" s="2">
        <f t="shared" si="48"/>
        <v>4</v>
      </c>
      <c r="AF105" s="2">
        <f t="shared" si="49"/>
        <v>0.2</v>
      </c>
      <c r="AG105" s="2">
        <f t="shared" si="50"/>
        <v>0.31622776601683794</v>
      </c>
      <c r="AH105" s="2">
        <f t="shared" si="51"/>
        <v>0</v>
      </c>
    </row>
    <row r="106" spans="1:34">
      <c r="A106" s="11">
        <v>0</v>
      </c>
      <c r="B106" s="11" t="s">
        <v>0</v>
      </c>
      <c r="C106" s="11">
        <v>0</v>
      </c>
      <c r="D106" s="11">
        <v>0</v>
      </c>
      <c r="E106" s="11">
        <v>0</v>
      </c>
      <c r="F106" s="11">
        <v>0</v>
      </c>
      <c r="S106" s="2">
        <f t="shared" si="45"/>
        <v>101</v>
      </c>
      <c r="T106" s="2">
        <f t="shared" si="46"/>
        <v>26.5001</v>
      </c>
      <c r="U106" s="2">
        <f t="shared" si="42"/>
        <v>26.5001</v>
      </c>
      <c r="V106" s="2">
        <v>23</v>
      </c>
      <c r="W106" s="2">
        <v>5</v>
      </c>
      <c r="X106" s="2">
        <v>0.4</v>
      </c>
      <c r="Y106" s="2">
        <v>0.28000000000000003</v>
      </c>
      <c r="Z106" s="2">
        <v>0.3</v>
      </c>
      <c r="AB106" s="2">
        <f t="shared" si="43"/>
        <v>26.5001</v>
      </c>
      <c r="AC106" s="2">
        <f t="shared" si="44"/>
        <v>26.5001</v>
      </c>
      <c r="AD106" s="2">
        <f t="shared" si="47"/>
        <v>20</v>
      </c>
      <c r="AE106" s="2">
        <f t="shared" si="48"/>
        <v>4</v>
      </c>
      <c r="AF106" s="2">
        <f t="shared" si="49"/>
        <v>0.2</v>
      </c>
      <c r="AG106" s="2">
        <f t="shared" si="50"/>
        <v>0.31622776601683794</v>
      </c>
      <c r="AH106" s="2">
        <f t="shared" si="51"/>
        <v>0</v>
      </c>
    </row>
    <row r="107" spans="1:34">
      <c r="S107" s="2">
        <f t="shared" si="45"/>
        <v>102</v>
      </c>
      <c r="T107" s="2">
        <f t="shared" si="46"/>
        <v>26.5001</v>
      </c>
      <c r="U107" s="2">
        <f t="shared" si="42"/>
        <v>26.5001</v>
      </c>
      <c r="V107" s="2">
        <v>23</v>
      </c>
      <c r="W107" s="2">
        <v>5</v>
      </c>
      <c r="X107" s="2">
        <v>0.4</v>
      </c>
      <c r="Y107" s="2">
        <v>0.28000000000000003</v>
      </c>
      <c r="Z107" s="2">
        <v>0.3</v>
      </c>
      <c r="AC107" s="2">
        <f t="shared" si="44"/>
        <v>26.5001</v>
      </c>
      <c r="AD107" s="2">
        <f t="shared" si="47"/>
        <v>20</v>
      </c>
      <c r="AE107" s="2">
        <f t="shared" si="48"/>
        <v>4</v>
      </c>
      <c r="AF107" s="2">
        <f t="shared" si="49"/>
        <v>0.2</v>
      </c>
      <c r="AG107" s="2">
        <f t="shared" si="50"/>
        <v>0.31622776601683794</v>
      </c>
      <c r="AH107" s="2">
        <f t="shared" si="51"/>
        <v>0</v>
      </c>
    </row>
  </sheetData>
  <sheetProtection algorithmName="SHA-512" hashValue="p+LofzOqMZaHFRJdYgKNxaUjQjwHQ9X4PX60PR3D/msQKf4yNy0nfRhsVRs4OK1VI4r/1pAQdVt9xI43eTj3Aw==" saltValue="1fcLgXWwm3Z/+aKDoGnItA==" spinCount="100000" sheet="1" objects="1" scenarios="1" selectLockedCells="1"/>
  <conditionalFormatting sqref="U6:AH107">
    <cfRule type="expression" dxfId="13" priority="5">
      <formula>$S6&gt;NumPoints</formula>
    </cfRule>
  </conditionalFormatting>
  <conditionalFormatting sqref="T7:T25">
    <cfRule type="expression" dxfId="12" priority="2">
      <formula>$S7&gt;NumPoints</formula>
    </cfRule>
  </conditionalFormatting>
  <conditionalFormatting sqref="T26:T107">
    <cfRule type="expression" dxfId="11" priority="1">
      <formula>$S26&gt;NumPoints</formula>
    </cfRule>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07"/>
  <sheetViews>
    <sheetView topLeftCell="A2" workbookViewId="0">
      <selection activeCell="A43" sqref="A43"/>
    </sheetView>
  </sheetViews>
  <sheetFormatPr defaultColWidth="8.81640625" defaultRowHeight="14.5"/>
  <cols>
    <col min="1" max="1" width="17" style="2" customWidth="1"/>
    <col min="2" max="2" width="8.54296875" style="2" customWidth="1"/>
    <col min="3" max="3" width="7.54296875" style="2" customWidth="1"/>
    <col min="4" max="4" width="11.26953125" style="2" customWidth="1"/>
    <col min="5" max="6" width="17" style="2" customWidth="1"/>
    <col min="7" max="7" width="9.453125" style="2" hidden="1" customWidth="1"/>
    <col min="8" max="8" width="10.54296875" style="2" customWidth="1"/>
    <col min="9" max="9" width="10.54296875" style="78" hidden="1" customWidth="1"/>
    <col min="10" max="10" width="10" style="2" hidden="1" customWidth="1"/>
    <col min="11" max="13" width="8.81640625" style="2" hidden="1" customWidth="1"/>
    <col min="14" max="14" width="11.7265625" style="2" hidden="1" customWidth="1"/>
    <col min="15" max="18" width="8.81640625" style="2" hidden="1" customWidth="1"/>
    <col min="19" max="20" width="14.26953125" style="2" hidden="1" customWidth="1"/>
    <col min="21" max="21" width="13.54296875" style="2" hidden="1" customWidth="1"/>
    <col min="22" max="22" width="8.81640625" style="2" hidden="1" customWidth="1"/>
    <col min="23" max="23" width="11.7265625" style="2" hidden="1" customWidth="1"/>
    <col min="24" max="29" width="8.81640625" style="2" hidden="1" customWidth="1"/>
    <col min="30" max="30" width="0" style="2" hidden="1" customWidth="1"/>
    <col min="31" max="32" width="14.26953125" style="2" hidden="1" customWidth="1"/>
    <col min="33" max="34" width="13.1796875" style="2" hidden="1" customWidth="1"/>
    <col min="35" max="35" width="10.26953125" style="2" hidden="1" customWidth="1"/>
    <col min="36" max="36" width="11.1796875" style="2" hidden="1" customWidth="1"/>
    <col min="37" max="37" width="8.81640625" style="2" hidden="1" customWidth="1"/>
    <col min="38" max="16384" width="8.81640625" style="2"/>
  </cols>
  <sheetData>
    <row r="1" spans="1:38">
      <c r="A1" s="22" t="s">
        <v>322</v>
      </c>
      <c r="B1" s="6"/>
      <c r="C1" s="21" t="s">
        <v>236</v>
      </c>
      <c r="D1" s="23"/>
      <c r="E1" s="23"/>
      <c r="F1" s="23"/>
      <c r="G1" s="6"/>
      <c r="H1" s="6"/>
      <c r="I1" s="20"/>
      <c r="AF1" s="2" t="s">
        <v>0</v>
      </c>
    </row>
    <row r="2" spans="1:38" s="4" customFormat="1">
      <c r="A2" s="77"/>
      <c r="B2" s="20"/>
      <c r="C2" s="20"/>
      <c r="D2" s="20"/>
      <c r="E2" s="20"/>
      <c r="F2" s="20"/>
      <c r="G2" s="20"/>
      <c r="H2" s="20"/>
      <c r="I2" s="2" t="s">
        <v>309</v>
      </c>
      <c r="J2" s="2"/>
      <c r="L2" s="2"/>
      <c r="M2" s="2"/>
      <c r="N2" s="2"/>
      <c r="O2" s="2" t="s">
        <v>211</v>
      </c>
      <c r="P2" s="2" t="s">
        <v>210</v>
      </c>
      <c r="Q2" s="2"/>
      <c r="R2" s="2"/>
      <c r="T2" s="4" t="s">
        <v>210</v>
      </c>
      <c r="AG2" s="2" t="s">
        <v>203</v>
      </c>
      <c r="AJ2" s="2" t="s">
        <v>160</v>
      </c>
      <c r="AK2" s="2" t="b">
        <f>AND(UsePreamp,OR(AK6:AK107))</f>
        <v>0</v>
      </c>
    </row>
    <row r="3" spans="1:38">
      <c r="A3" s="77"/>
      <c r="B3" s="20"/>
      <c r="C3" s="78"/>
      <c r="D3" s="78"/>
      <c r="E3" s="20" t="s">
        <v>211</v>
      </c>
      <c r="F3" s="20" t="s">
        <v>210</v>
      </c>
      <c r="G3" s="20"/>
      <c r="H3" s="20"/>
      <c r="I3" s="20" t="s">
        <v>310</v>
      </c>
      <c r="J3" s="2" t="s">
        <v>196</v>
      </c>
      <c r="K3" s="2" t="s">
        <v>319</v>
      </c>
      <c r="L3" s="2" t="s">
        <v>197</v>
      </c>
      <c r="M3" s="2" t="s">
        <v>119</v>
      </c>
      <c r="N3" s="2" t="s">
        <v>214</v>
      </c>
      <c r="O3" s="2" t="s">
        <v>314</v>
      </c>
      <c r="P3" s="2" t="s">
        <v>315</v>
      </c>
      <c r="Q3" s="20" t="s">
        <v>81</v>
      </c>
      <c r="R3" s="20" t="s">
        <v>156</v>
      </c>
      <c r="T3" s="2">
        <f>StartFreqGHz</f>
        <v>0.1</v>
      </c>
      <c r="U3" s="2" t="s">
        <v>0</v>
      </c>
      <c r="X3" s="2" t="s">
        <v>211</v>
      </c>
      <c r="Y3" s="2" t="s">
        <v>210</v>
      </c>
      <c r="AC3" s="2" t="s">
        <v>210</v>
      </c>
      <c r="AD3" s="2" t="s">
        <v>347</v>
      </c>
      <c r="AG3" s="2">
        <f>PreampGamConf</f>
        <v>0.40853898265363492</v>
      </c>
      <c r="AJ3" s="3"/>
    </row>
    <row r="4" spans="1:38">
      <c r="A4" s="77" t="s">
        <v>8</v>
      </c>
      <c r="B4" s="20"/>
      <c r="C4" s="78" t="s">
        <v>116</v>
      </c>
      <c r="D4" s="78" t="s">
        <v>311</v>
      </c>
      <c r="E4" s="20" t="s">
        <v>183</v>
      </c>
      <c r="F4" s="20" t="s">
        <v>183</v>
      </c>
      <c r="G4" s="20" t="s">
        <v>350</v>
      </c>
      <c r="H4" s="20" t="s">
        <v>156</v>
      </c>
      <c r="I4" s="2"/>
      <c r="J4" s="2" t="s">
        <v>0</v>
      </c>
      <c r="K4" s="2">
        <f>MIN(K6:K101)</f>
        <v>3.4899999999999984</v>
      </c>
      <c r="L4" s="2">
        <v>30</v>
      </c>
      <c r="M4" s="2">
        <f>SUM(M6:M59)/$L$5</f>
        <v>28.45</v>
      </c>
      <c r="N4" s="2">
        <f t="shared" ref="N4:R4" si="0">SUM(N6:N59)/$L$5</f>
        <v>5.36</v>
      </c>
      <c r="O4" s="2">
        <f t="shared" si="0"/>
        <v>0.14000000000000001</v>
      </c>
      <c r="P4" s="2">
        <f t="shared" si="0"/>
        <v>0.06</v>
      </c>
      <c r="Q4" s="2">
        <f t="shared" si="0"/>
        <v>0.15</v>
      </c>
      <c r="R4" s="2">
        <f t="shared" si="0"/>
        <v>10</v>
      </c>
      <c r="T4" s="2">
        <f>FreqStep</f>
        <v>0.52800000000000002</v>
      </c>
      <c r="U4" s="2" t="s">
        <v>202</v>
      </c>
      <c r="V4" s="2" t="s">
        <v>116</v>
      </c>
      <c r="W4" s="2" t="s">
        <v>214</v>
      </c>
      <c r="X4" s="2" t="s">
        <v>314</v>
      </c>
      <c r="Y4" s="2" t="s">
        <v>315</v>
      </c>
      <c r="Z4" s="20" t="s">
        <v>81</v>
      </c>
      <c r="AA4" s="20" t="s">
        <v>156</v>
      </c>
      <c r="AB4" s="20"/>
      <c r="AC4" s="2" t="s">
        <v>181</v>
      </c>
      <c r="AF4" s="2" t="s">
        <v>211</v>
      </c>
      <c r="AG4" s="2" t="s">
        <v>210</v>
      </c>
      <c r="AH4" s="2" t="s">
        <v>341</v>
      </c>
      <c r="AJ4" s="3" t="s">
        <v>157</v>
      </c>
      <c r="AL4" s="2" t="s">
        <v>0</v>
      </c>
    </row>
    <row r="5" spans="1:38">
      <c r="A5" s="82" t="s">
        <v>181</v>
      </c>
      <c r="B5" s="20" t="s">
        <v>313</v>
      </c>
      <c r="C5" s="78" t="s">
        <v>215</v>
      </c>
      <c r="D5" s="78" t="s">
        <v>215</v>
      </c>
      <c r="E5" s="20" t="s">
        <v>308</v>
      </c>
      <c r="F5" s="20" t="s">
        <v>308</v>
      </c>
      <c r="G5" s="20" t="s">
        <v>342</v>
      </c>
      <c r="H5" s="20"/>
      <c r="I5" s="2"/>
      <c r="J5" s="2" t="s">
        <v>312</v>
      </c>
      <c r="K5" s="2" t="s">
        <v>318</v>
      </c>
      <c r="L5" s="2">
        <f>SUM(L6:L101)</f>
        <v>1</v>
      </c>
      <c r="T5" s="2">
        <f>StopFreqGHz</f>
        <v>26.5</v>
      </c>
      <c r="U5" s="2" t="s">
        <v>0</v>
      </c>
      <c r="V5" s="25">
        <f>M4</f>
        <v>28.45</v>
      </c>
      <c r="W5" s="25">
        <f>N4</f>
        <v>5.36</v>
      </c>
      <c r="X5" s="25">
        <f>O4</f>
        <v>0.14000000000000001</v>
      </c>
      <c r="Y5" s="25">
        <f>P4</f>
        <v>0.06</v>
      </c>
      <c r="Z5" s="25">
        <f t="shared" ref="Z5:AA5" si="1">Q4</f>
        <v>0.15</v>
      </c>
      <c r="AA5" s="25">
        <f t="shared" si="1"/>
        <v>10</v>
      </c>
      <c r="AB5" s="25"/>
      <c r="AC5" s="2" t="s">
        <v>316</v>
      </c>
      <c r="AD5" s="2" t="s">
        <v>116</v>
      </c>
      <c r="AE5" s="2" t="s">
        <v>214</v>
      </c>
      <c r="AF5" s="2" t="s">
        <v>314</v>
      </c>
      <c r="AG5" s="2" t="s">
        <v>315</v>
      </c>
      <c r="AI5" s="2" t="s">
        <v>156</v>
      </c>
      <c r="AJ5" s="3" t="s">
        <v>158</v>
      </c>
      <c r="AK5" s="2" t="s">
        <v>159</v>
      </c>
    </row>
    <row r="6" spans="1:38">
      <c r="A6" s="11">
        <v>10</v>
      </c>
      <c r="B6" s="11" t="s">
        <v>305</v>
      </c>
      <c r="C6" s="11">
        <v>15</v>
      </c>
      <c r="D6" s="11">
        <v>2</v>
      </c>
      <c r="E6" s="12">
        <v>0</v>
      </c>
      <c r="F6" s="11">
        <v>0.15</v>
      </c>
      <c r="G6" s="11">
        <v>0</v>
      </c>
      <c r="H6" s="11">
        <v>10</v>
      </c>
      <c r="I6" s="2">
        <f t="shared" ref="I6:I37" si="2">IF(UPPER(TRIM(B6))="MHZ",0.001,IF((UPPER(TRIM(B6)))="GHZ",1,IF(UPPER(TRIM(B6))="KHZ",0.000001,0.000000001)))</f>
        <v>1E-3</v>
      </c>
      <c r="J6" s="2">
        <f t="shared" ref="J6:J37" si="3">IF(A6&gt;0,A6*I6,1000)</f>
        <v>0.01</v>
      </c>
      <c r="K6" s="2">
        <f>ABS(L$4-J6)</f>
        <v>29.99</v>
      </c>
      <c r="L6" s="2">
        <f>IF(K6=K$4,1,0)</f>
        <v>0</v>
      </c>
      <c r="M6" s="2">
        <f t="shared" ref="M6:R6" si="4">$L6*C6</f>
        <v>0</v>
      </c>
      <c r="N6" s="2">
        <f t="shared" si="4"/>
        <v>0</v>
      </c>
      <c r="O6" s="2">
        <f t="shared" si="4"/>
        <v>0</v>
      </c>
      <c r="P6" s="2">
        <f t="shared" si="4"/>
        <v>0</v>
      </c>
      <c r="Q6" s="2">
        <f t="shared" si="4"/>
        <v>0</v>
      </c>
      <c r="R6" s="2">
        <f t="shared" si="4"/>
        <v>0</v>
      </c>
      <c r="T6" s="2">
        <v>1</v>
      </c>
      <c r="U6" s="2">
        <f>T3</f>
        <v>0.1</v>
      </c>
      <c r="V6" s="2">
        <f t="dataTable" ref="V6:AA107" dt2D="0" dtr="0" r1="L4"/>
        <v>16</v>
      </c>
      <c r="W6" s="2">
        <v>2.2999999999999998</v>
      </c>
      <c r="X6" s="2">
        <v>0</v>
      </c>
      <c r="Y6" s="2">
        <v>0.25</v>
      </c>
      <c r="Z6" s="2">
        <v>0</v>
      </c>
      <c r="AA6" s="2">
        <v>10</v>
      </c>
      <c r="AC6" s="2">
        <f t="shared" ref="AC6:AC37" si="5">U6</f>
        <v>0.1</v>
      </c>
      <c r="AD6" s="2">
        <f>CHOOSE(Preamp_DataType,SF_PreampGain,'7227'!B5,'7227'!B5,'7227'!B5,V6,0)</f>
        <v>16.126000000000001</v>
      </c>
      <c r="AE6" s="2">
        <f>CHOOSE(Preamp_DataType,SF_PreampNF,'7227'!E5,'7227'!E5,'7227'!E5,W6,0)</f>
        <v>6</v>
      </c>
      <c r="AF6" s="2">
        <f>CHOOSE(Preamp_DataType,SF_PreampGamIn,10^('7227'!F5/20),10^('7227'!F5/20),10^('7227'!F5/20),X6,0)</f>
        <v>0.17782794100389224</v>
      </c>
      <c r="AG6" s="2">
        <f>CHOOSE(Preamp_DataType,SF_PreampGamOut,10^('7227'!G5/20),10^('7227'!G5/20),10^('7227'!G5/20),Y6,0)</f>
        <v>0.12589254117941667</v>
      </c>
      <c r="AH6" s="2">
        <f>UseReverse*CHOOSE(Preamp_DataType,PreampRevRatio,'7227'!H5,'7227'!H5,'7227'!H5,Z6,0)</f>
        <v>0</v>
      </c>
      <c r="AI6" s="2">
        <f>CHOOSE(Preamp_DataType,sf_PreampP1dB,'7227'!I5,'7227'!I5,'7227'!I5,AA6,0)</f>
        <v>6</v>
      </c>
      <c r="AJ6" s="3">
        <f>10*LOG10((NseMeas!J5/NseMeas!BW)*P1dbBWghz*1000000000)</f>
        <v>-35.514213474281796</v>
      </c>
      <c r="AK6" s="2" t="b">
        <f>(AJ6&gt;=(AI6-10))</f>
        <v>0</v>
      </c>
    </row>
    <row r="7" spans="1:38">
      <c r="A7" s="11">
        <v>100</v>
      </c>
      <c r="B7" s="11" t="s">
        <v>305</v>
      </c>
      <c r="C7" s="11">
        <v>16</v>
      </c>
      <c r="D7" s="11">
        <v>2.2999999999999998</v>
      </c>
      <c r="E7" s="12">
        <v>0</v>
      </c>
      <c r="F7" s="11">
        <v>0.25</v>
      </c>
      <c r="G7" s="11">
        <v>0</v>
      </c>
      <c r="H7" s="11">
        <v>10</v>
      </c>
      <c r="I7" s="2">
        <f t="shared" si="2"/>
        <v>1E-3</v>
      </c>
      <c r="J7" s="2">
        <f t="shared" si="3"/>
        <v>0.1</v>
      </c>
      <c r="K7" s="2">
        <f t="shared" ref="K7:K70" si="6">ABS(L$4-J7)</f>
        <v>29.9</v>
      </c>
      <c r="L7" s="2">
        <f t="shared" ref="L7:L70" si="7">IF(K7=K$4,1,0)</f>
        <v>0</v>
      </c>
      <c r="M7" s="2">
        <f t="shared" ref="M7:M38" si="8">$L7*C7</f>
        <v>0</v>
      </c>
      <c r="N7" s="2">
        <f t="shared" ref="N7:N38" si="9">$L7*D7</f>
        <v>0</v>
      </c>
      <c r="O7" s="2">
        <f t="shared" ref="O7:O38" si="10">$L7*E7</f>
        <v>0</v>
      </c>
      <c r="P7" s="2">
        <f t="shared" ref="P7:P38" si="11">$L7*F7</f>
        <v>0</v>
      </c>
      <c r="Q7" s="2">
        <f t="shared" ref="Q7:Q70" si="12">$L7*G7</f>
        <v>0</v>
      </c>
      <c r="R7" s="2">
        <f t="shared" ref="R7:R70" si="13">$L7*H7</f>
        <v>0</v>
      </c>
      <c r="T7" s="2">
        <f>1+T6</f>
        <v>2</v>
      </c>
      <c r="U7" s="2">
        <f t="shared" ref="U7:U22" si="14">IF($T$4&gt;=0,IF(U6&gt;=$T$5,$T$5+0.0001,U6+$T$4),IF(U6&lt;=$T$5,$T$5-0.0001,U6+$T$4))</f>
        <v>0.628</v>
      </c>
      <c r="V7" s="2">
        <v>16</v>
      </c>
      <c r="W7" s="2">
        <v>2.2999999999999998</v>
      </c>
      <c r="X7" s="2">
        <v>0</v>
      </c>
      <c r="Y7" s="2">
        <v>0.25</v>
      </c>
      <c r="Z7" s="2">
        <v>0</v>
      </c>
      <c r="AA7" s="2">
        <v>10</v>
      </c>
      <c r="AC7" s="2">
        <f t="shared" si="5"/>
        <v>0.628</v>
      </c>
      <c r="AD7" s="2">
        <f>CHOOSE(Preamp_DataType,SF_PreampGain,'7227'!B6,'7227'!B6,'7227'!B6,V7,0)</f>
        <v>16.263280000000002</v>
      </c>
      <c r="AE7" s="2">
        <f>CHOOSE(Preamp_DataType,SF_PreampNF,'7227'!E6,'7227'!E6,'7227'!E6,W7,0)</f>
        <v>6</v>
      </c>
      <c r="AF7" s="2">
        <f>CHOOSE(Preamp_DataType,SF_PreampGamIn,10^('7227'!F6/20),10^('7227'!F6/20),10^('7227'!F6/20),X7,0)</f>
        <v>0.17782794100389224</v>
      </c>
      <c r="AG7" s="2">
        <f>CHOOSE(Preamp_DataType,SF_PreampGamOut,10^('7227'!G6/20),10^('7227'!G6/20),10^('7227'!G6/20),Y7,0)</f>
        <v>0.12589254117941667</v>
      </c>
      <c r="AH7" s="2">
        <f>UseReverse*CHOOSE(Preamp_DataType,PreampRevRatio,'7227'!H6,'7227'!H6,'7227'!H6,Z7,0)</f>
        <v>0</v>
      </c>
      <c r="AI7" s="2">
        <f>CHOOSE(Preamp_DataType,sf_PreampP1dB,'7227'!I6,'7227'!I6,'7227'!I6,AA7,0)</f>
        <v>6</v>
      </c>
      <c r="AJ7" s="3">
        <f>10*LOG10((NseMeas!J6/NseMeas!BW)*P1dbBWghz*1000000000)</f>
        <v>-35.377000024477525</v>
      </c>
      <c r="AK7" s="2" t="b">
        <f t="shared" ref="AK7:AK70" si="15">(AJ7&gt;=(AI7-10))</f>
        <v>0</v>
      </c>
    </row>
    <row r="8" spans="1:38">
      <c r="A8" s="12">
        <v>2000</v>
      </c>
      <c r="B8" s="11" t="s">
        <v>305</v>
      </c>
      <c r="C8" s="11">
        <v>23.47</v>
      </c>
      <c r="D8" s="11">
        <v>8.3000000000000007</v>
      </c>
      <c r="E8" s="12">
        <v>0.12</v>
      </c>
      <c r="F8" s="11">
        <v>0.1</v>
      </c>
      <c r="G8" s="12">
        <v>0.25</v>
      </c>
      <c r="H8" s="11">
        <v>10</v>
      </c>
      <c r="I8" s="2">
        <f t="shared" si="2"/>
        <v>1E-3</v>
      </c>
      <c r="J8" s="2">
        <f t="shared" si="3"/>
        <v>2</v>
      </c>
      <c r="K8" s="2">
        <f t="shared" si="6"/>
        <v>28</v>
      </c>
      <c r="L8" s="2">
        <f t="shared" si="7"/>
        <v>0</v>
      </c>
      <c r="M8" s="2">
        <f t="shared" si="8"/>
        <v>0</v>
      </c>
      <c r="N8" s="2">
        <f t="shared" si="9"/>
        <v>0</v>
      </c>
      <c r="O8" s="2">
        <f t="shared" si="10"/>
        <v>0</v>
      </c>
      <c r="P8" s="2">
        <f t="shared" si="11"/>
        <v>0</v>
      </c>
      <c r="Q8" s="2">
        <f t="shared" si="12"/>
        <v>0</v>
      </c>
      <c r="R8" s="2">
        <f t="shared" si="13"/>
        <v>0</v>
      </c>
      <c r="T8" s="2">
        <f t="shared" ref="T8:T71" si="16">1+T7</f>
        <v>3</v>
      </c>
      <c r="U8" s="2">
        <f t="shared" si="14"/>
        <v>1.1560000000000001</v>
      </c>
      <c r="V8" s="2">
        <v>23.47</v>
      </c>
      <c r="W8" s="2">
        <v>8.3000000000000007</v>
      </c>
      <c r="X8" s="2">
        <v>0.12</v>
      </c>
      <c r="Y8" s="2">
        <v>0.1</v>
      </c>
      <c r="Z8" s="2">
        <v>0.25</v>
      </c>
      <c r="AA8" s="2">
        <v>10</v>
      </c>
      <c r="AC8" s="2">
        <f t="shared" si="5"/>
        <v>1.1560000000000001</v>
      </c>
      <c r="AD8" s="2">
        <f>CHOOSE(Preamp_DataType,SF_PreampGain,'7227'!B7,'7227'!B7,'7227'!B7,V8,0)</f>
        <v>16.400560000000002</v>
      </c>
      <c r="AE8" s="2">
        <f>CHOOSE(Preamp_DataType,SF_PreampNF,'7227'!E7,'7227'!E7,'7227'!E7,W8,0)</f>
        <v>6</v>
      </c>
      <c r="AF8" s="2">
        <f>CHOOSE(Preamp_DataType,SF_PreampGamIn,10^('7227'!F7/20),10^('7227'!F7/20),10^('7227'!F7/20),X8,0)</f>
        <v>0.17782794100389224</v>
      </c>
      <c r="AG8" s="2">
        <f>CHOOSE(Preamp_DataType,SF_PreampGamOut,10^('7227'!G7/20),10^('7227'!G7/20),10^('7227'!G7/20),Y8,0)</f>
        <v>0.12589254117941667</v>
      </c>
      <c r="AH8" s="2">
        <f>UseReverse*CHOOSE(Preamp_DataType,PreampRevRatio,'7227'!H7,'7227'!H7,'7227'!H7,Z8,0)</f>
        <v>0</v>
      </c>
      <c r="AI8" s="2">
        <f>CHOOSE(Preamp_DataType,sf_PreampP1dB,'7227'!I7,'7227'!I7,'7227'!I7,AA8,0)</f>
        <v>6</v>
      </c>
      <c r="AJ8" s="3">
        <f>10*LOG10((NseMeas!J7/NseMeas!BW)*P1dbBWghz*1000000000)</f>
        <v>-35.23978450490214</v>
      </c>
      <c r="AK8" s="2" t="b">
        <f t="shared" si="15"/>
        <v>0</v>
      </c>
    </row>
    <row r="9" spans="1:38">
      <c r="A9" s="12">
        <v>3000</v>
      </c>
      <c r="B9" s="11" t="s">
        <v>305</v>
      </c>
      <c r="C9" s="11">
        <v>29.9</v>
      </c>
      <c r="D9" s="11">
        <v>7.58</v>
      </c>
      <c r="E9" s="12">
        <v>0.12</v>
      </c>
      <c r="F9" s="11">
        <v>7.0000000000000007E-2</v>
      </c>
      <c r="G9" s="12">
        <v>0.25</v>
      </c>
      <c r="H9" s="11">
        <v>10</v>
      </c>
      <c r="I9" s="2">
        <f t="shared" si="2"/>
        <v>1E-3</v>
      </c>
      <c r="J9" s="2">
        <f t="shared" si="3"/>
        <v>3</v>
      </c>
      <c r="K9" s="2">
        <f t="shared" si="6"/>
        <v>27</v>
      </c>
      <c r="L9" s="2">
        <f t="shared" si="7"/>
        <v>0</v>
      </c>
      <c r="M9" s="2">
        <f t="shared" si="8"/>
        <v>0</v>
      </c>
      <c r="N9" s="2">
        <f t="shared" si="9"/>
        <v>0</v>
      </c>
      <c r="O9" s="2">
        <f t="shared" si="10"/>
        <v>0</v>
      </c>
      <c r="P9" s="2">
        <f t="shared" si="11"/>
        <v>0</v>
      </c>
      <c r="Q9" s="2">
        <f t="shared" si="12"/>
        <v>0</v>
      </c>
      <c r="R9" s="2">
        <f t="shared" si="13"/>
        <v>0</v>
      </c>
      <c r="T9" s="2">
        <f t="shared" si="16"/>
        <v>4</v>
      </c>
      <c r="U9" s="2">
        <f t="shared" si="14"/>
        <v>1.6840000000000002</v>
      </c>
      <c r="V9" s="2">
        <v>23.47</v>
      </c>
      <c r="W9" s="2">
        <v>8.3000000000000007</v>
      </c>
      <c r="X9" s="2">
        <v>0.12</v>
      </c>
      <c r="Y9" s="2">
        <v>0.1</v>
      </c>
      <c r="Z9" s="2">
        <v>0.25</v>
      </c>
      <c r="AA9" s="2">
        <v>10</v>
      </c>
      <c r="AC9" s="2">
        <f t="shared" si="5"/>
        <v>1.6840000000000002</v>
      </c>
      <c r="AD9" s="2">
        <f>CHOOSE(Preamp_DataType,SF_PreampGain,'7227'!B8,'7227'!B8,'7227'!B8,V9,0)</f>
        <v>16.537840000000003</v>
      </c>
      <c r="AE9" s="2">
        <f>CHOOSE(Preamp_DataType,SF_PreampNF,'7227'!E8,'7227'!E8,'7227'!E8,W9,0)</f>
        <v>6</v>
      </c>
      <c r="AF9" s="2">
        <f>CHOOSE(Preamp_DataType,SF_PreampGamIn,10^('7227'!F8/20),10^('7227'!F8/20),10^('7227'!F8/20),X9,0)</f>
        <v>0.17782794100389224</v>
      </c>
      <c r="AG9" s="2">
        <f>CHOOSE(Preamp_DataType,SF_PreampGamOut,10^('7227'!G8/20),10^('7227'!G8/20),10^('7227'!G8/20),Y9,0)</f>
        <v>0.12589254117941667</v>
      </c>
      <c r="AH9" s="2">
        <f>UseReverse*CHOOSE(Preamp_DataType,PreampRevRatio,'7227'!H8,'7227'!H8,'7227'!H8,Z9,0)</f>
        <v>0</v>
      </c>
      <c r="AI9" s="2">
        <f>CHOOSE(Preamp_DataType,sf_PreampP1dB,'7227'!I8,'7227'!I8,'7227'!I8,AA9,0)</f>
        <v>6</v>
      </c>
      <c r="AJ9" s="3">
        <f>10*LOG10((NseMeas!J8/NseMeas!BW)*P1dbBWghz*1000000000)</f>
        <v>-35.102566979898057</v>
      </c>
      <c r="AK9" s="2" t="b">
        <f t="shared" si="15"/>
        <v>0</v>
      </c>
    </row>
    <row r="10" spans="1:38">
      <c r="A10" s="12">
        <v>4000</v>
      </c>
      <c r="B10" s="11" t="s">
        <v>305</v>
      </c>
      <c r="C10" s="11">
        <v>31.28</v>
      </c>
      <c r="D10" s="11">
        <v>6.69</v>
      </c>
      <c r="E10" s="12">
        <v>0.125</v>
      </c>
      <c r="F10" s="11">
        <v>7.0000000000000007E-2</v>
      </c>
      <c r="G10" s="12">
        <v>0.22</v>
      </c>
      <c r="H10" s="11">
        <v>10</v>
      </c>
      <c r="I10" s="2">
        <f t="shared" si="2"/>
        <v>1E-3</v>
      </c>
      <c r="J10" s="2">
        <f t="shared" si="3"/>
        <v>4</v>
      </c>
      <c r="K10" s="2">
        <f t="shared" si="6"/>
        <v>26</v>
      </c>
      <c r="L10" s="2">
        <f t="shared" si="7"/>
        <v>0</v>
      </c>
      <c r="M10" s="2">
        <f t="shared" si="8"/>
        <v>0</v>
      </c>
      <c r="N10" s="2">
        <f t="shared" si="9"/>
        <v>0</v>
      </c>
      <c r="O10" s="2">
        <f t="shared" si="10"/>
        <v>0</v>
      </c>
      <c r="P10" s="2">
        <f t="shared" si="11"/>
        <v>0</v>
      </c>
      <c r="Q10" s="2">
        <f t="shared" si="12"/>
        <v>0</v>
      </c>
      <c r="R10" s="2">
        <f t="shared" si="13"/>
        <v>0</v>
      </c>
      <c r="T10" s="2">
        <f t="shared" si="16"/>
        <v>5</v>
      </c>
      <c r="U10" s="2">
        <f t="shared" si="14"/>
        <v>2.2120000000000002</v>
      </c>
      <c r="V10" s="2">
        <v>23.47</v>
      </c>
      <c r="W10" s="2">
        <v>8.3000000000000007</v>
      </c>
      <c r="X10" s="2">
        <v>0.12</v>
      </c>
      <c r="Y10" s="2">
        <v>0.1</v>
      </c>
      <c r="Z10" s="2">
        <v>0.25</v>
      </c>
      <c r="AA10" s="2">
        <v>10</v>
      </c>
      <c r="AC10" s="2">
        <f t="shared" si="5"/>
        <v>2.2120000000000002</v>
      </c>
      <c r="AD10" s="2">
        <f>CHOOSE(Preamp_DataType,SF_PreampGain,'7227'!B9,'7227'!B9,'7227'!B9,V10,0)</f>
        <v>16.67512</v>
      </c>
      <c r="AE10" s="2">
        <f>CHOOSE(Preamp_DataType,SF_PreampNF,'7227'!E9,'7227'!E9,'7227'!E9,W10,0)</f>
        <v>6</v>
      </c>
      <c r="AF10" s="2">
        <f>CHOOSE(Preamp_DataType,SF_PreampGamIn,10^('7227'!F9/20),10^('7227'!F9/20),10^('7227'!F9/20),X10,0)</f>
        <v>0.17782794100389224</v>
      </c>
      <c r="AG10" s="2">
        <f>CHOOSE(Preamp_DataType,SF_PreampGamOut,10^('7227'!G9/20),10^('7227'!G9/20),10^('7227'!G9/20),Y10,0)</f>
        <v>0.12589254117941667</v>
      </c>
      <c r="AH10" s="2">
        <f>UseReverse*CHOOSE(Preamp_DataType,PreampRevRatio,'7227'!H9,'7227'!H9,'7227'!H9,Z10,0)</f>
        <v>0</v>
      </c>
      <c r="AI10" s="2">
        <f>CHOOSE(Preamp_DataType,sf_PreampP1dB,'7227'!I9,'7227'!I9,'7227'!I9,AA10,0)</f>
        <v>6</v>
      </c>
      <c r="AJ10" s="3">
        <f>10*LOG10((NseMeas!J9/NseMeas!BW)*P1dbBWghz*1000000000)</f>
        <v>-34.963309174956898</v>
      </c>
      <c r="AK10" s="2" t="b">
        <f t="shared" si="15"/>
        <v>0</v>
      </c>
    </row>
    <row r="11" spans="1:38">
      <c r="A11" s="12">
        <v>6000</v>
      </c>
      <c r="B11" s="11" t="s">
        <v>305</v>
      </c>
      <c r="C11" s="11">
        <v>29.62</v>
      </c>
      <c r="D11" s="11">
        <v>6.28</v>
      </c>
      <c r="E11" s="12">
        <v>0.14000000000000001</v>
      </c>
      <c r="F11" s="11">
        <v>0.03</v>
      </c>
      <c r="G11" s="12">
        <v>0.22</v>
      </c>
      <c r="H11" s="11">
        <v>10</v>
      </c>
      <c r="I11" s="2">
        <f t="shared" si="2"/>
        <v>1E-3</v>
      </c>
      <c r="J11" s="2">
        <f t="shared" si="3"/>
        <v>6</v>
      </c>
      <c r="K11" s="2">
        <f t="shared" si="6"/>
        <v>24</v>
      </c>
      <c r="L11" s="2">
        <f t="shared" si="7"/>
        <v>0</v>
      </c>
      <c r="M11" s="2">
        <f t="shared" si="8"/>
        <v>0</v>
      </c>
      <c r="N11" s="2">
        <f t="shared" si="9"/>
        <v>0</v>
      </c>
      <c r="O11" s="2">
        <f t="shared" si="10"/>
        <v>0</v>
      </c>
      <c r="P11" s="2">
        <f t="shared" si="11"/>
        <v>0</v>
      </c>
      <c r="Q11" s="2">
        <f t="shared" si="12"/>
        <v>0</v>
      </c>
      <c r="R11" s="2">
        <f t="shared" si="13"/>
        <v>0</v>
      </c>
      <c r="T11" s="2">
        <f t="shared" si="16"/>
        <v>6</v>
      </c>
      <c r="U11" s="2">
        <f t="shared" si="14"/>
        <v>2.74</v>
      </c>
      <c r="V11" s="2">
        <v>29.9</v>
      </c>
      <c r="W11" s="2">
        <v>7.58</v>
      </c>
      <c r="X11" s="2">
        <v>0.12</v>
      </c>
      <c r="Y11" s="2">
        <v>7.0000000000000007E-2</v>
      </c>
      <c r="Z11" s="2">
        <v>0.25</v>
      </c>
      <c r="AA11" s="2">
        <v>10</v>
      </c>
      <c r="AC11" s="2">
        <f t="shared" si="5"/>
        <v>2.74</v>
      </c>
      <c r="AD11" s="2">
        <f>CHOOSE(Preamp_DataType,SF_PreampGain,'7227'!B10,'7227'!B10,'7227'!B10,V11,0)</f>
        <v>16.8124</v>
      </c>
      <c r="AE11" s="2">
        <f>CHOOSE(Preamp_DataType,SF_PreampNF,'7227'!E10,'7227'!E10,'7227'!E10,W11,0)</f>
        <v>6</v>
      </c>
      <c r="AF11" s="2">
        <f>CHOOSE(Preamp_DataType,SF_PreampGamIn,10^('7227'!F10/20),10^('7227'!F10/20),10^('7227'!F10/20),X11,0)</f>
        <v>0.17782794100389224</v>
      </c>
      <c r="AG11" s="2">
        <f>CHOOSE(Preamp_DataType,SF_PreampGamOut,10^('7227'!G10/20),10^('7227'!G10/20),10^('7227'!G10/20),Y11,0)</f>
        <v>0.12589254117941667</v>
      </c>
      <c r="AH11" s="2">
        <f>UseReverse*CHOOSE(Preamp_DataType,PreampRevRatio,'7227'!H10,'7227'!H10,'7227'!H10,Z11,0)</f>
        <v>0</v>
      </c>
      <c r="AI11" s="2">
        <f>CHOOSE(Preamp_DataType,sf_PreampP1dB,'7227'!I10,'7227'!I10,'7227'!I10,AA11,0)</f>
        <v>6</v>
      </c>
      <c r="AJ11" s="3">
        <f>10*LOG10((NseMeas!J10/NseMeas!BW)*P1dbBWghz*1000000000)</f>
        <v>-34.827612274597477</v>
      </c>
      <c r="AK11" s="2" t="b">
        <f t="shared" si="15"/>
        <v>0</v>
      </c>
    </row>
    <row r="12" spans="1:38">
      <c r="A12" s="12">
        <v>18100</v>
      </c>
      <c r="B12" s="11" t="s">
        <v>305</v>
      </c>
      <c r="C12" s="11">
        <v>26.48</v>
      </c>
      <c r="D12" s="11">
        <v>6.05</v>
      </c>
      <c r="E12" s="12">
        <v>0.23</v>
      </c>
      <c r="F12" s="11">
        <v>0.1</v>
      </c>
      <c r="G12" s="12">
        <v>0.2</v>
      </c>
      <c r="H12" s="11">
        <v>10</v>
      </c>
      <c r="I12" s="2">
        <f t="shared" si="2"/>
        <v>1E-3</v>
      </c>
      <c r="J12" s="2">
        <f t="shared" si="3"/>
        <v>18.100000000000001</v>
      </c>
      <c r="K12" s="2">
        <f t="shared" si="6"/>
        <v>11.899999999999999</v>
      </c>
      <c r="L12" s="2">
        <f t="shared" si="7"/>
        <v>0</v>
      </c>
      <c r="M12" s="2">
        <f t="shared" si="8"/>
        <v>0</v>
      </c>
      <c r="N12" s="2">
        <f t="shared" si="9"/>
        <v>0</v>
      </c>
      <c r="O12" s="2">
        <f t="shared" si="10"/>
        <v>0</v>
      </c>
      <c r="P12" s="2">
        <f t="shared" si="11"/>
        <v>0</v>
      </c>
      <c r="Q12" s="2">
        <f t="shared" si="12"/>
        <v>0</v>
      </c>
      <c r="R12" s="2">
        <f t="shared" si="13"/>
        <v>0</v>
      </c>
      <c r="T12" s="2">
        <f t="shared" si="16"/>
        <v>7</v>
      </c>
      <c r="U12" s="2">
        <f t="shared" si="14"/>
        <v>3.2680000000000002</v>
      </c>
      <c r="V12" s="2">
        <v>29.9</v>
      </c>
      <c r="W12" s="2">
        <v>7.58</v>
      </c>
      <c r="X12" s="2">
        <v>0.12</v>
      </c>
      <c r="Y12" s="2">
        <v>7.0000000000000007E-2</v>
      </c>
      <c r="Z12" s="2">
        <v>0.25</v>
      </c>
      <c r="AA12" s="2">
        <v>10</v>
      </c>
      <c r="AC12" s="2">
        <f t="shared" si="5"/>
        <v>3.2680000000000002</v>
      </c>
      <c r="AD12" s="2">
        <f>CHOOSE(Preamp_DataType,SF_PreampGain,'7227'!B11,'7227'!B11,'7227'!B11,V12,0)</f>
        <v>16.949680000000001</v>
      </c>
      <c r="AE12" s="2">
        <f>CHOOSE(Preamp_DataType,SF_PreampNF,'7227'!E11,'7227'!E11,'7227'!E11,W12,0)</f>
        <v>6</v>
      </c>
      <c r="AF12" s="2">
        <f>CHOOSE(Preamp_DataType,SF_PreampGamIn,10^('7227'!F11/20),10^('7227'!F11/20),10^('7227'!F11/20),X12,0)</f>
        <v>0.17782794100389224</v>
      </c>
      <c r="AG12" s="2">
        <f>CHOOSE(Preamp_DataType,SF_PreampGamOut,10^('7227'!G11/20),10^('7227'!G11/20),10^('7227'!G11/20),Y12,0)</f>
        <v>0.12589254117941667</v>
      </c>
      <c r="AH12" s="2">
        <f>UseReverse*CHOOSE(Preamp_DataType,PreampRevRatio,'7227'!H11,'7227'!H11,'7227'!H11,Z12,0)</f>
        <v>0</v>
      </c>
      <c r="AI12" s="2">
        <f>CHOOSE(Preamp_DataType,sf_PreampP1dB,'7227'!I11,'7227'!I11,'7227'!I11,AA12,0)</f>
        <v>6</v>
      </c>
      <c r="AJ12" s="3">
        <f>10*LOG10((NseMeas!J11/NseMeas!BW)*P1dbBWghz*1000000000)</f>
        <v>-34.690405082098017</v>
      </c>
      <c r="AK12" s="2" t="b">
        <f t="shared" si="15"/>
        <v>0</v>
      </c>
    </row>
    <row r="13" spans="1:38">
      <c r="A13" s="12">
        <v>26510</v>
      </c>
      <c r="B13" s="11" t="s">
        <v>305</v>
      </c>
      <c r="C13" s="11">
        <v>28.45</v>
      </c>
      <c r="D13" s="11">
        <v>5.36</v>
      </c>
      <c r="E13" s="12">
        <v>0.14000000000000001</v>
      </c>
      <c r="F13" s="11">
        <v>0.06</v>
      </c>
      <c r="G13" s="12">
        <v>0.15</v>
      </c>
      <c r="H13" s="11">
        <v>10</v>
      </c>
      <c r="I13" s="2">
        <f t="shared" si="2"/>
        <v>1E-3</v>
      </c>
      <c r="J13" s="2">
        <f t="shared" si="3"/>
        <v>26.51</v>
      </c>
      <c r="K13" s="2">
        <f t="shared" si="6"/>
        <v>3.4899999999999984</v>
      </c>
      <c r="L13" s="2">
        <f t="shared" si="7"/>
        <v>1</v>
      </c>
      <c r="M13" s="2">
        <f t="shared" si="8"/>
        <v>28.45</v>
      </c>
      <c r="N13" s="2">
        <f t="shared" si="9"/>
        <v>5.36</v>
      </c>
      <c r="O13" s="2">
        <f t="shared" si="10"/>
        <v>0.14000000000000001</v>
      </c>
      <c r="P13" s="2">
        <f t="shared" si="11"/>
        <v>0.06</v>
      </c>
      <c r="Q13" s="2">
        <f t="shared" si="12"/>
        <v>0.15</v>
      </c>
      <c r="R13" s="2">
        <f t="shared" si="13"/>
        <v>10</v>
      </c>
      <c r="T13" s="2">
        <f t="shared" si="16"/>
        <v>8</v>
      </c>
      <c r="U13" s="2">
        <f t="shared" si="14"/>
        <v>3.7960000000000003</v>
      </c>
      <c r="V13" s="2">
        <v>31.28</v>
      </c>
      <c r="W13" s="2">
        <v>6.69</v>
      </c>
      <c r="X13" s="2">
        <v>0.125</v>
      </c>
      <c r="Y13" s="2">
        <v>7.0000000000000007E-2</v>
      </c>
      <c r="Z13" s="2">
        <v>0.22</v>
      </c>
      <c r="AA13" s="2">
        <v>10</v>
      </c>
      <c r="AC13" s="2">
        <f t="shared" si="5"/>
        <v>3.7960000000000003</v>
      </c>
      <c r="AD13" s="2">
        <f>CHOOSE(Preamp_DataType,SF_PreampGain,'7227'!B12,'7227'!B12,'7227'!B12,V13,0)</f>
        <v>17.086960000000001</v>
      </c>
      <c r="AE13" s="2">
        <f>CHOOSE(Preamp_DataType,SF_PreampNF,'7227'!E12,'7227'!E12,'7227'!E12,W13,0)</f>
        <v>6</v>
      </c>
      <c r="AF13" s="2">
        <f>CHOOSE(Preamp_DataType,SF_PreampGamIn,10^('7227'!F12/20),10^('7227'!F12/20),10^('7227'!F12/20),X13,0)</f>
        <v>0.17782794100389224</v>
      </c>
      <c r="AG13" s="2">
        <f>CHOOSE(Preamp_DataType,SF_PreampGamOut,10^('7227'!G12/20),10^('7227'!G12/20),10^('7227'!G12/20),Y13,0)</f>
        <v>0.12589254117941667</v>
      </c>
      <c r="AH13" s="2">
        <f>UseReverse*CHOOSE(Preamp_DataType,PreampRevRatio,'7227'!H12,'7227'!H12,'7227'!H12,Z13,0)</f>
        <v>0</v>
      </c>
      <c r="AI13" s="2">
        <f>CHOOSE(Preamp_DataType,sf_PreampP1dB,'7227'!I12,'7227'!I12,'7227'!I12,AA13,0)</f>
        <v>6</v>
      </c>
      <c r="AJ13" s="3">
        <f>10*LOG10((NseMeas!J12/NseMeas!BW)*P1dbBWghz*1000000000)</f>
        <v>-34.553195625319667</v>
      </c>
      <c r="AK13" s="2" t="b">
        <f t="shared" si="15"/>
        <v>0</v>
      </c>
    </row>
    <row r="14" spans="1:38">
      <c r="A14" s="12">
        <v>40000</v>
      </c>
      <c r="B14" s="11" t="s">
        <v>305</v>
      </c>
      <c r="C14" s="11">
        <v>32.159999999999997</v>
      </c>
      <c r="D14" s="11">
        <v>6.07</v>
      </c>
      <c r="E14" s="12">
        <v>0.08</v>
      </c>
      <c r="F14" s="11">
        <v>0.2</v>
      </c>
      <c r="G14" s="12">
        <v>0.06</v>
      </c>
      <c r="H14" s="11">
        <v>10</v>
      </c>
      <c r="I14" s="2">
        <f t="shared" si="2"/>
        <v>1E-3</v>
      </c>
      <c r="J14" s="2">
        <f t="shared" si="3"/>
        <v>40</v>
      </c>
      <c r="K14" s="2">
        <f t="shared" si="6"/>
        <v>10</v>
      </c>
      <c r="L14" s="2">
        <f t="shared" si="7"/>
        <v>0</v>
      </c>
      <c r="M14" s="2">
        <f t="shared" si="8"/>
        <v>0</v>
      </c>
      <c r="N14" s="2">
        <f t="shared" si="9"/>
        <v>0</v>
      </c>
      <c r="O14" s="2">
        <f t="shared" si="10"/>
        <v>0</v>
      </c>
      <c r="P14" s="2">
        <f t="shared" si="11"/>
        <v>0</v>
      </c>
      <c r="Q14" s="2">
        <f t="shared" si="12"/>
        <v>0</v>
      </c>
      <c r="R14" s="2">
        <f t="shared" si="13"/>
        <v>0</v>
      </c>
      <c r="T14" s="2">
        <f t="shared" si="16"/>
        <v>9</v>
      </c>
      <c r="U14" s="2">
        <f t="shared" si="14"/>
        <v>4.3239999999999998</v>
      </c>
      <c r="V14" s="2">
        <v>31.28</v>
      </c>
      <c r="W14" s="2">
        <v>6.69</v>
      </c>
      <c r="X14" s="2">
        <v>0.125</v>
      </c>
      <c r="Y14" s="2">
        <v>7.0000000000000007E-2</v>
      </c>
      <c r="Z14" s="2">
        <v>0.22</v>
      </c>
      <c r="AA14" s="2">
        <v>10</v>
      </c>
      <c r="AC14" s="2">
        <f t="shared" si="5"/>
        <v>4.3239999999999998</v>
      </c>
      <c r="AD14" s="2">
        <f>CHOOSE(Preamp_DataType,SF_PreampGain,'7227'!B13,'7227'!B13,'7227'!B13,V14,0)</f>
        <v>17.224240000000002</v>
      </c>
      <c r="AE14" s="2">
        <f>CHOOSE(Preamp_DataType,SF_PreampNF,'7227'!E13,'7227'!E13,'7227'!E13,W14,0)</f>
        <v>5</v>
      </c>
      <c r="AF14" s="2">
        <f>CHOOSE(Preamp_DataType,SF_PreampGamIn,10^('7227'!F13/20),10^('7227'!F13/20),10^('7227'!F13/20),X14,0)</f>
        <v>0.3981071705534972</v>
      </c>
      <c r="AG14" s="2">
        <f>CHOOSE(Preamp_DataType,SF_PreampGamOut,10^('7227'!G13/20),10^('7227'!G13/20),10^('7227'!G13/20),Y14,0)</f>
        <v>0.28183829312644532</v>
      </c>
      <c r="AH14" s="2">
        <f>UseReverse*CHOOSE(Preamp_DataType,PreampRevRatio,'7227'!H13,'7227'!H13,'7227'!H13,Z14,0)</f>
        <v>0</v>
      </c>
      <c r="AI14" s="2">
        <f>CHOOSE(Preamp_DataType,sf_PreampP1dB,'7227'!I13,'7227'!I13,'7227'!I13,AA14,0)</f>
        <v>8</v>
      </c>
      <c r="AJ14" s="3">
        <f>10*LOG10((NseMeas!J13/NseMeas!BW)*P1dbBWghz*1000000000)</f>
        <v>-34.422219603387425</v>
      </c>
      <c r="AK14" s="2" t="b">
        <f t="shared" si="15"/>
        <v>0</v>
      </c>
    </row>
    <row r="15" spans="1:38">
      <c r="A15" s="12">
        <v>44000</v>
      </c>
      <c r="B15" s="11" t="s">
        <v>305</v>
      </c>
      <c r="C15" s="11">
        <v>32.299999999999997</v>
      </c>
      <c r="D15" s="11">
        <v>6.78</v>
      </c>
      <c r="E15" s="12">
        <v>0.16</v>
      </c>
      <c r="F15" s="11">
        <v>0.35</v>
      </c>
      <c r="G15" s="12">
        <v>7.0000000000000007E-2</v>
      </c>
      <c r="H15" s="11">
        <v>10</v>
      </c>
      <c r="I15" s="2">
        <f t="shared" si="2"/>
        <v>1E-3</v>
      </c>
      <c r="J15" s="2">
        <f t="shared" si="3"/>
        <v>44</v>
      </c>
      <c r="K15" s="2">
        <f t="shared" si="6"/>
        <v>14</v>
      </c>
      <c r="L15" s="2">
        <f t="shared" si="7"/>
        <v>0</v>
      </c>
      <c r="M15" s="2">
        <f t="shared" si="8"/>
        <v>0</v>
      </c>
      <c r="N15" s="2">
        <f t="shared" si="9"/>
        <v>0</v>
      </c>
      <c r="O15" s="2">
        <f t="shared" si="10"/>
        <v>0</v>
      </c>
      <c r="P15" s="2">
        <f t="shared" si="11"/>
        <v>0</v>
      </c>
      <c r="Q15" s="2">
        <f t="shared" si="12"/>
        <v>0</v>
      </c>
      <c r="R15" s="2">
        <f t="shared" si="13"/>
        <v>0</v>
      </c>
      <c r="T15" s="2">
        <f t="shared" si="16"/>
        <v>10</v>
      </c>
      <c r="U15" s="2">
        <f t="shared" si="14"/>
        <v>4.8520000000000003</v>
      </c>
      <c r="V15" s="2">
        <v>31.28</v>
      </c>
      <c r="W15" s="2">
        <v>6.69</v>
      </c>
      <c r="X15" s="2">
        <v>0.125</v>
      </c>
      <c r="Y15" s="2">
        <v>7.0000000000000007E-2</v>
      </c>
      <c r="Z15" s="2">
        <v>0.22</v>
      </c>
      <c r="AA15" s="2">
        <v>10</v>
      </c>
      <c r="AC15" s="2">
        <f t="shared" si="5"/>
        <v>4.8520000000000003</v>
      </c>
      <c r="AD15" s="2">
        <f>CHOOSE(Preamp_DataType,SF_PreampGain,'7227'!B14,'7227'!B14,'7227'!B14,V15,0)</f>
        <v>17.361520000000002</v>
      </c>
      <c r="AE15" s="2">
        <f>CHOOSE(Preamp_DataType,SF_PreampNF,'7227'!E14,'7227'!E14,'7227'!E14,W15,0)</f>
        <v>5</v>
      </c>
      <c r="AF15" s="2">
        <f>CHOOSE(Preamp_DataType,SF_PreampGamIn,10^('7227'!F14/20),10^('7227'!F14/20),10^('7227'!F14/20),X15,0)</f>
        <v>0.3981071705534972</v>
      </c>
      <c r="AG15" s="2">
        <f>CHOOSE(Preamp_DataType,SF_PreampGamOut,10^('7227'!G14/20),10^('7227'!G14/20),10^('7227'!G14/20),Y15,0)</f>
        <v>0.28183829312644532</v>
      </c>
      <c r="AH15" s="2">
        <f>UseReverse*CHOOSE(Preamp_DataType,PreampRevRatio,'7227'!H14,'7227'!H14,'7227'!H14,Z15,0)</f>
        <v>0</v>
      </c>
      <c r="AI15" s="2">
        <f>CHOOSE(Preamp_DataType,sf_PreampP1dB,'7227'!I14,'7227'!I14,'7227'!I14,AA15,0)</f>
        <v>8</v>
      </c>
      <c r="AJ15" s="3">
        <f>10*LOG10((NseMeas!J14/NseMeas!BW)*P1dbBWghz*1000000000)</f>
        <v>-34.283716431365399</v>
      </c>
      <c r="AK15" s="2" t="b">
        <f t="shared" si="15"/>
        <v>0</v>
      </c>
    </row>
    <row r="16" spans="1:38">
      <c r="A16" s="11">
        <v>50000</v>
      </c>
      <c r="B16" s="11" t="s">
        <v>305</v>
      </c>
      <c r="C16" s="11">
        <v>30.42</v>
      </c>
      <c r="D16" s="11">
        <v>7.87</v>
      </c>
      <c r="E16" s="11">
        <v>0.28999999999999998</v>
      </c>
      <c r="F16" s="11">
        <v>0.15</v>
      </c>
      <c r="G16" s="11">
        <v>7.0000000000000007E-2</v>
      </c>
      <c r="H16" s="11">
        <v>0</v>
      </c>
      <c r="I16" s="2">
        <f t="shared" si="2"/>
        <v>1E-3</v>
      </c>
      <c r="J16" s="2">
        <f t="shared" si="3"/>
        <v>50</v>
      </c>
      <c r="K16" s="2">
        <f t="shared" si="6"/>
        <v>20</v>
      </c>
      <c r="L16" s="2">
        <f t="shared" si="7"/>
        <v>0</v>
      </c>
      <c r="M16" s="2">
        <f t="shared" si="8"/>
        <v>0</v>
      </c>
      <c r="N16" s="2">
        <f t="shared" si="9"/>
        <v>0</v>
      </c>
      <c r="O16" s="2">
        <f t="shared" si="10"/>
        <v>0</v>
      </c>
      <c r="P16" s="2">
        <f t="shared" si="11"/>
        <v>0</v>
      </c>
      <c r="Q16" s="2">
        <f t="shared" si="12"/>
        <v>0</v>
      </c>
      <c r="R16" s="2">
        <f t="shared" si="13"/>
        <v>0</v>
      </c>
      <c r="T16" s="2">
        <f t="shared" si="16"/>
        <v>11</v>
      </c>
      <c r="U16" s="2">
        <f t="shared" si="14"/>
        <v>5.3800000000000008</v>
      </c>
      <c r="V16" s="2">
        <v>29.62</v>
      </c>
      <c r="W16" s="2">
        <v>6.28</v>
      </c>
      <c r="X16" s="2">
        <v>0.14000000000000001</v>
      </c>
      <c r="Y16" s="2">
        <v>0.03</v>
      </c>
      <c r="Z16" s="2">
        <v>0.22</v>
      </c>
      <c r="AA16" s="2">
        <v>10</v>
      </c>
      <c r="AC16" s="2">
        <f t="shared" si="5"/>
        <v>5.3800000000000008</v>
      </c>
      <c r="AD16" s="2">
        <f>CHOOSE(Preamp_DataType,SF_PreampGain,'7227'!B15,'7227'!B15,'7227'!B15,V16,0)</f>
        <v>17.498800000000003</v>
      </c>
      <c r="AE16" s="2">
        <f>CHOOSE(Preamp_DataType,SF_PreampNF,'7227'!E15,'7227'!E15,'7227'!E15,W16,0)</f>
        <v>5</v>
      </c>
      <c r="AF16" s="2">
        <f>CHOOSE(Preamp_DataType,SF_PreampGamIn,10^('7227'!F15/20),10^('7227'!F15/20),10^('7227'!F15/20),X16,0)</f>
        <v>0.3981071705534972</v>
      </c>
      <c r="AG16" s="2">
        <f>CHOOSE(Preamp_DataType,SF_PreampGamOut,10^('7227'!G15/20),10^('7227'!G15/20),10^('7227'!G15/20),Y16,0)</f>
        <v>0.28183829312644532</v>
      </c>
      <c r="AH16" s="2">
        <f>UseReverse*CHOOSE(Preamp_DataType,PreampRevRatio,'7227'!H15,'7227'!H15,'7227'!H15,Z16,0)</f>
        <v>0</v>
      </c>
      <c r="AI16" s="2">
        <f>CHOOSE(Preamp_DataType,sf_PreampP1dB,'7227'!I15,'7227'!I15,'7227'!I15,AA16,0)</f>
        <v>8</v>
      </c>
      <c r="AJ16" s="3">
        <f>10*LOG10((NseMeas!J15/NseMeas!BW)*P1dbBWghz*1000000000)</f>
        <v>-34.146540786489801</v>
      </c>
      <c r="AK16" s="2" t="b">
        <f t="shared" si="15"/>
        <v>0</v>
      </c>
    </row>
    <row r="17" spans="1:37">
      <c r="A17" s="11">
        <v>0</v>
      </c>
      <c r="B17" s="11" t="s">
        <v>0</v>
      </c>
      <c r="C17" s="11">
        <v>0</v>
      </c>
      <c r="D17" s="11">
        <v>0</v>
      </c>
      <c r="E17" s="11">
        <v>0</v>
      </c>
      <c r="F17" s="11">
        <v>0</v>
      </c>
      <c r="G17" s="11">
        <v>0</v>
      </c>
      <c r="H17" s="11">
        <v>0</v>
      </c>
      <c r="I17" s="2">
        <f t="shared" si="2"/>
        <v>1.0000000000000001E-9</v>
      </c>
      <c r="J17" s="2">
        <f t="shared" si="3"/>
        <v>1000</v>
      </c>
      <c r="K17" s="2">
        <f t="shared" si="6"/>
        <v>970</v>
      </c>
      <c r="L17" s="2">
        <f t="shared" si="7"/>
        <v>0</v>
      </c>
      <c r="M17" s="2">
        <f t="shared" si="8"/>
        <v>0</v>
      </c>
      <c r="N17" s="2">
        <f t="shared" si="9"/>
        <v>0</v>
      </c>
      <c r="O17" s="2">
        <f t="shared" si="10"/>
        <v>0</v>
      </c>
      <c r="P17" s="2">
        <f t="shared" si="11"/>
        <v>0</v>
      </c>
      <c r="Q17" s="2">
        <f t="shared" si="12"/>
        <v>0</v>
      </c>
      <c r="R17" s="2">
        <f t="shared" si="13"/>
        <v>0</v>
      </c>
      <c r="T17" s="2">
        <f t="shared" si="16"/>
        <v>12</v>
      </c>
      <c r="U17" s="2">
        <f t="shared" si="14"/>
        <v>5.9080000000000013</v>
      </c>
      <c r="V17" s="2">
        <v>29.62</v>
      </c>
      <c r="W17" s="2">
        <v>6.28</v>
      </c>
      <c r="X17" s="2">
        <v>0.14000000000000001</v>
      </c>
      <c r="Y17" s="2">
        <v>0.03</v>
      </c>
      <c r="Z17" s="2">
        <v>0.22</v>
      </c>
      <c r="AA17" s="2">
        <v>10</v>
      </c>
      <c r="AC17" s="2">
        <f t="shared" si="5"/>
        <v>5.9080000000000013</v>
      </c>
      <c r="AD17" s="2">
        <f>CHOOSE(Preamp_DataType,SF_PreampGain,'7227'!B16,'7227'!B16,'7227'!B16,V17,0)</f>
        <v>17.636080000000003</v>
      </c>
      <c r="AE17" s="2">
        <f>CHOOSE(Preamp_DataType,SF_PreampNF,'7227'!E16,'7227'!E16,'7227'!E16,W17,0)</f>
        <v>5</v>
      </c>
      <c r="AF17" s="2">
        <f>CHOOSE(Preamp_DataType,SF_PreampGamIn,10^('7227'!F16/20),10^('7227'!F16/20),10^('7227'!F16/20),X17,0)</f>
        <v>0.3981071705534972</v>
      </c>
      <c r="AG17" s="2">
        <f>CHOOSE(Preamp_DataType,SF_PreampGamOut,10^('7227'!G16/20),10^('7227'!G16/20),10^('7227'!G16/20),Y17,0)</f>
        <v>0.28183829312644532</v>
      </c>
      <c r="AH17" s="2">
        <f>UseReverse*CHOOSE(Preamp_DataType,PreampRevRatio,'7227'!H16,'7227'!H16,'7227'!H16,Z17,0)</f>
        <v>0</v>
      </c>
      <c r="AI17" s="2">
        <f>CHOOSE(Preamp_DataType,sf_PreampP1dB,'7227'!I16,'7227'!I16,'7227'!I16,AA17,0)</f>
        <v>8</v>
      </c>
      <c r="AJ17" s="3">
        <f>10*LOG10((NseMeas!J16/NseMeas!BW)*P1dbBWghz*1000000000)</f>
        <v>-34.00936189694216</v>
      </c>
      <c r="AK17" s="2" t="b">
        <f t="shared" si="15"/>
        <v>0</v>
      </c>
    </row>
    <row r="18" spans="1:37">
      <c r="A18" s="11">
        <v>0</v>
      </c>
      <c r="B18" s="11" t="s">
        <v>0</v>
      </c>
      <c r="C18" s="11">
        <v>0</v>
      </c>
      <c r="D18" s="11">
        <v>0</v>
      </c>
      <c r="E18" s="11">
        <v>0</v>
      </c>
      <c r="F18" s="11">
        <v>0</v>
      </c>
      <c r="G18" s="11">
        <v>0</v>
      </c>
      <c r="H18" s="11">
        <v>0</v>
      </c>
      <c r="I18" s="2">
        <f t="shared" si="2"/>
        <v>1.0000000000000001E-9</v>
      </c>
      <c r="J18" s="2">
        <f t="shared" si="3"/>
        <v>1000</v>
      </c>
      <c r="K18" s="2">
        <f t="shared" si="6"/>
        <v>970</v>
      </c>
      <c r="L18" s="2">
        <f t="shared" si="7"/>
        <v>0</v>
      </c>
      <c r="M18" s="2">
        <f t="shared" si="8"/>
        <v>0</v>
      </c>
      <c r="N18" s="2">
        <f t="shared" si="9"/>
        <v>0</v>
      </c>
      <c r="O18" s="2">
        <f t="shared" si="10"/>
        <v>0</v>
      </c>
      <c r="P18" s="2">
        <f t="shared" si="11"/>
        <v>0</v>
      </c>
      <c r="Q18" s="2">
        <f t="shared" si="12"/>
        <v>0</v>
      </c>
      <c r="R18" s="2">
        <f t="shared" si="13"/>
        <v>0</v>
      </c>
      <c r="T18" s="2">
        <f t="shared" si="16"/>
        <v>13</v>
      </c>
      <c r="U18" s="2">
        <f t="shared" si="14"/>
        <v>6.4360000000000017</v>
      </c>
      <c r="V18" s="2">
        <v>29.62</v>
      </c>
      <c r="W18" s="2">
        <v>6.28</v>
      </c>
      <c r="X18" s="2">
        <v>0.14000000000000001</v>
      </c>
      <c r="Y18" s="2">
        <v>0.03</v>
      </c>
      <c r="Z18" s="2">
        <v>0.22</v>
      </c>
      <c r="AA18" s="2">
        <v>10</v>
      </c>
      <c r="AC18" s="2">
        <f t="shared" si="5"/>
        <v>6.4360000000000017</v>
      </c>
      <c r="AD18" s="2">
        <f>CHOOSE(Preamp_DataType,SF_PreampGain,'7227'!B17,'7227'!B17,'7227'!B17,V18,0)</f>
        <v>17.77336</v>
      </c>
      <c r="AE18" s="2">
        <f>CHOOSE(Preamp_DataType,SF_PreampNF,'7227'!E17,'7227'!E17,'7227'!E17,W18,0)</f>
        <v>4</v>
      </c>
      <c r="AF18" s="2">
        <f>CHOOSE(Preamp_DataType,SF_PreampGamIn,10^('7227'!F17/20),10^('7227'!F17/20),10^('7227'!F17/20),X18,0)</f>
        <v>0.3981071705534972</v>
      </c>
      <c r="AG18" s="2">
        <f>CHOOSE(Preamp_DataType,SF_PreampGamOut,10^('7227'!G17/20),10^('7227'!G17/20),10^('7227'!G17/20),Y18,0)</f>
        <v>0.28183829312644532</v>
      </c>
      <c r="AH18" s="2">
        <f>UseReverse*CHOOSE(Preamp_DataType,PreampRevRatio,'7227'!H17,'7227'!H17,'7227'!H17,Z18,0)</f>
        <v>0</v>
      </c>
      <c r="AI18" s="2">
        <f>CHOOSE(Preamp_DataType,sf_PreampP1dB,'7227'!I17,'7227'!I17,'7227'!I17,AA18,0)</f>
        <v>6</v>
      </c>
      <c r="AJ18" s="3">
        <f>10*LOG10((NseMeas!J17/NseMeas!BW)*P1dbBWghz*1000000000)</f>
        <v>-33.877138337018515</v>
      </c>
      <c r="AK18" s="2" t="b">
        <f t="shared" si="15"/>
        <v>0</v>
      </c>
    </row>
    <row r="19" spans="1:37">
      <c r="A19" s="11">
        <v>0</v>
      </c>
      <c r="B19" s="11" t="s">
        <v>0</v>
      </c>
      <c r="C19" s="11">
        <v>0</v>
      </c>
      <c r="D19" s="11">
        <v>0</v>
      </c>
      <c r="E19" s="11">
        <v>0</v>
      </c>
      <c r="F19" s="11">
        <v>0</v>
      </c>
      <c r="G19" s="11">
        <v>0</v>
      </c>
      <c r="H19" s="11">
        <v>0</v>
      </c>
      <c r="I19" s="2">
        <f t="shared" si="2"/>
        <v>1.0000000000000001E-9</v>
      </c>
      <c r="J19" s="2">
        <f t="shared" si="3"/>
        <v>1000</v>
      </c>
      <c r="K19" s="2">
        <f t="shared" si="6"/>
        <v>970</v>
      </c>
      <c r="L19" s="2">
        <f t="shared" si="7"/>
        <v>0</v>
      </c>
      <c r="M19" s="2">
        <f t="shared" si="8"/>
        <v>0</v>
      </c>
      <c r="N19" s="2">
        <f t="shared" si="9"/>
        <v>0</v>
      </c>
      <c r="O19" s="2">
        <f t="shared" si="10"/>
        <v>0</v>
      </c>
      <c r="P19" s="2">
        <f t="shared" si="11"/>
        <v>0</v>
      </c>
      <c r="Q19" s="2">
        <f t="shared" si="12"/>
        <v>0</v>
      </c>
      <c r="R19" s="2">
        <f t="shared" si="13"/>
        <v>0</v>
      </c>
      <c r="T19" s="2">
        <f t="shared" si="16"/>
        <v>14</v>
      </c>
      <c r="U19" s="2">
        <f t="shared" si="14"/>
        <v>6.9640000000000022</v>
      </c>
      <c r="V19" s="2">
        <v>29.62</v>
      </c>
      <c r="W19" s="2">
        <v>6.28</v>
      </c>
      <c r="X19" s="2">
        <v>0.14000000000000001</v>
      </c>
      <c r="Y19" s="2">
        <v>0.03</v>
      </c>
      <c r="Z19" s="2">
        <v>0.22</v>
      </c>
      <c r="AA19" s="2">
        <v>10</v>
      </c>
      <c r="AC19" s="2">
        <f t="shared" si="5"/>
        <v>6.9640000000000022</v>
      </c>
      <c r="AD19" s="2">
        <f>CHOOSE(Preamp_DataType,SF_PreampGain,'7227'!B18,'7227'!B18,'7227'!B18,V19,0)</f>
        <v>17.910640000000001</v>
      </c>
      <c r="AE19" s="2">
        <f>CHOOSE(Preamp_DataType,SF_PreampNF,'7227'!E18,'7227'!E18,'7227'!E18,W19,0)</f>
        <v>4</v>
      </c>
      <c r="AF19" s="2">
        <f>CHOOSE(Preamp_DataType,SF_PreampGamIn,10^('7227'!F18/20),10^('7227'!F18/20),10^('7227'!F18/20),X19,0)</f>
        <v>0.3981071705534972</v>
      </c>
      <c r="AG19" s="2">
        <f>CHOOSE(Preamp_DataType,SF_PreampGamOut,10^('7227'!G18/20),10^('7227'!G18/20),10^('7227'!G18/20),Y19,0)</f>
        <v>0.28183829312644532</v>
      </c>
      <c r="AH19" s="2">
        <f>UseReverse*CHOOSE(Preamp_DataType,PreampRevRatio,'7227'!H18,'7227'!H18,'7227'!H18,Z19,0)</f>
        <v>0</v>
      </c>
      <c r="AI19" s="2">
        <f>CHOOSE(Preamp_DataType,sf_PreampP1dB,'7227'!I18,'7227'!I18,'7227'!I18,AA19,0)</f>
        <v>6</v>
      </c>
      <c r="AJ19" s="3">
        <f>10*LOG10((NseMeas!J18/NseMeas!BW)*P1dbBWghz*1000000000)</f>
        <v>-33.739953365875238</v>
      </c>
      <c r="AK19" s="2" t="b">
        <f t="shared" si="15"/>
        <v>0</v>
      </c>
    </row>
    <row r="20" spans="1:37">
      <c r="A20" s="11">
        <v>0</v>
      </c>
      <c r="B20" s="11" t="s">
        <v>0</v>
      </c>
      <c r="C20" s="11">
        <v>0</v>
      </c>
      <c r="D20" s="11">
        <v>0</v>
      </c>
      <c r="E20" s="11">
        <v>0</v>
      </c>
      <c r="F20" s="11">
        <v>0</v>
      </c>
      <c r="G20" s="11">
        <v>0</v>
      </c>
      <c r="H20" s="11">
        <v>0</v>
      </c>
      <c r="I20" s="2">
        <f t="shared" si="2"/>
        <v>1.0000000000000001E-9</v>
      </c>
      <c r="J20" s="2">
        <f t="shared" si="3"/>
        <v>1000</v>
      </c>
      <c r="K20" s="2">
        <f t="shared" si="6"/>
        <v>970</v>
      </c>
      <c r="L20" s="2">
        <f t="shared" si="7"/>
        <v>0</v>
      </c>
      <c r="M20" s="2">
        <f t="shared" si="8"/>
        <v>0</v>
      </c>
      <c r="N20" s="2">
        <f t="shared" si="9"/>
        <v>0</v>
      </c>
      <c r="O20" s="2">
        <f t="shared" si="10"/>
        <v>0</v>
      </c>
      <c r="P20" s="2">
        <f t="shared" si="11"/>
        <v>0</v>
      </c>
      <c r="Q20" s="2">
        <f t="shared" si="12"/>
        <v>0</v>
      </c>
      <c r="R20" s="2">
        <f t="shared" si="13"/>
        <v>0</v>
      </c>
      <c r="T20" s="2">
        <f t="shared" si="16"/>
        <v>15</v>
      </c>
      <c r="U20" s="2">
        <f t="shared" si="14"/>
        <v>7.4920000000000027</v>
      </c>
      <c r="V20" s="2">
        <v>29.62</v>
      </c>
      <c r="W20" s="2">
        <v>6.28</v>
      </c>
      <c r="X20" s="2">
        <v>0.14000000000000001</v>
      </c>
      <c r="Y20" s="2">
        <v>0.03</v>
      </c>
      <c r="Z20" s="2">
        <v>0.22</v>
      </c>
      <c r="AA20" s="2">
        <v>10</v>
      </c>
      <c r="AC20" s="2">
        <f t="shared" si="5"/>
        <v>7.4920000000000027</v>
      </c>
      <c r="AD20" s="2">
        <f>CHOOSE(Preamp_DataType,SF_PreampGain,'7227'!B19,'7227'!B19,'7227'!B19,V20,0)</f>
        <v>18.047920000000001</v>
      </c>
      <c r="AE20" s="2">
        <f>CHOOSE(Preamp_DataType,SF_PreampNF,'7227'!E19,'7227'!E19,'7227'!E19,W20,0)</f>
        <v>4</v>
      </c>
      <c r="AF20" s="2">
        <f>CHOOSE(Preamp_DataType,SF_PreampGamIn,10^('7227'!F19/20),10^('7227'!F19/20),10^('7227'!F19/20),X20,0)</f>
        <v>0.3981071705534972</v>
      </c>
      <c r="AG20" s="2">
        <f>CHOOSE(Preamp_DataType,SF_PreampGamOut,10^('7227'!G19/20),10^('7227'!G19/20),10^('7227'!G19/20),Y20,0)</f>
        <v>0.28183829312644532</v>
      </c>
      <c r="AH20" s="2">
        <f>UseReverse*CHOOSE(Preamp_DataType,PreampRevRatio,'7227'!H19,'7227'!H19,'7227'!H19,Z20,0)</f>
        <v>0</v>
      </c>
      <c r="AI20" s="2">
        <f>CHOOSE(Preamp_DataType,sf_PreampP1dB,'7227'!I19,'7227'!I19,'7227'!I19,AA20,0)</f>
        <v>6</v>
      </c>
      <c r="AJ20" s="3">
        <f>10*LOG10((NseMeas!J19/NseMeas!BW)*P1dbBWghz*1000000000)</f>
        <v>-33.602765439843182</v>
      </c>
      <c r="AK20" s="2" t="b">
        <f t="shared" si="15"/>
        <v>0</v>
      </c>
    </row>
    <row r="21" spans="1:37">
      <c r="A21" s="11">
        <v>0</v>
      </c>
      <c r="B21" s="11" t="s">
        <v>0</v>
      </c>
      <c r="C21" s="11">
        <v>0</v>
      </c>
      <c r="D21" s="11">
        <v>0</v>
      </c>
      <c r="E21" s="11">
        <v>0</v>
      </c>
      <c r="F21" s="11">
        <v>0</v>
      </c>
      <c r="G21" s="11">
        <v>0</v>
      </c>
      <c r="H21" s="11">
        <v>0</v>
      </c>
      <c r="I21" s="2">
        <f t="shared" si="2"/>
        <v>1.0000000000000001E-9</v>
      </c>
      <c r="J21" s="2">
        <f t="shared" si="3"/>
        <v>1000</v>
      </c>
      <c r="K21" s="2">
        <f t="shared" si="6"/>
        <v>970</v>
      </c>
      <c r="L21" s="2">
        <f t="shared" si="7"/>
        <v>0</v>
      </c>
      <c r="M21" s="2">
        <f t="shared" si="8"/>
        <v>0</v>
      </c>
      <c r="N21" s="2">
        <f t="shared" si="9"/>
        <v>0</v>
      </c>
      <c r="O21" s="2">
        <f t="shared" si="10"/>
        <v>0</v>
      </c>
      <c r="P21" s="2">
        <f t="shared" si="11"/>
        <v>0</v>
      </c>
      <c r="Q21" s="2">
        <f t="shared" si="12"/>
        <v>0</v>
      </c>
      <c r="R21" s="2">
        <f t="shared" si="13"/>
        <v>0</v>
      </c>
      <c r="T21" s="2">
        <f t="shared" si="16"/>
        <v>16</v>
      </c>
      <c r="U21" s="2">
        <f t="shared" si="14"/>
        <v>8.0200000000000031</v>
      </c>
      <c r="V21" s="2">
        <v>29.62</v>
      </c>
      <c r="W21" s="2">
        <v>6.28</v>
      </c>
      <c r="X21" s="2">
        <v>0.14000000000000001</v>
      </c>
      <c r="Y21" s="2">
        <v>0.03</v>
      </c>
      <c r="Z21" s="2">
        <v>0.22</v>
      </c>
      <c r="AA21" s="2">
        <v>10</v>
      </c>
      <c r="AC21" s="2">
        <f t="shared" si="5"/>
        <v>8.0200000000000031</v>
      </c>
      <c r="AD21" s="2">
        <f>CHOOSE(Preamp_DataType,SF_PreampGain,'7227'!B20,'7227'!B20,'7227'!B20,V21,0)</f>
        <v>18.185200000000002</v>
      </c>
      <c r="AE21" s="2">
        <f>CHOOSE(Preamp_DataType,SF_PreampNF,'7227'!E20,'7227'!E20,'7227'!E20,W21,0)</f>
        <v>4</v>
      </c>
      <c r="AF21" s="2">
        <f>CHOOSE(Preamp_DataType,SF_PreampGamIn,10^('7227'!F20/20),10^('7227'!F20/20),10^('7227'!F20/20),X21,0)</f>
        <v>0.3981071705534972</v>
      </c>
      <c r="AG21" s="2">
        <f>CHOOSE(Preamp_DataType,SF_PreampGamOut,10^('7227'!G20/20),10^('7227'!G20/20),10^('7227'!G20/20),Y21,0)</f>
        <v>0.28183829312644532</v>
      </c>
      <c r="AH21" s="2">
        <f>UseReverse*CHOOSE(Preamp_DataType,PreampRevRatio,'7227'!H20,'7227'!H20,'7227'!H20,Z21,0)</f>
        <v>0</v>
      </c>
      <c r="AI21" s="2">
        <f>CHOOSE(Preamp_DataType,sf_PreampP1dB,'7227'!I20,'7227'!I20,'7227'!I20,AA21,0)</f>
        <v>6</v>
      </c>
      <c r="AJ21" s="3">
        <f>10*LOG10((NseMeas!J20/NseMeas!BW)*P1dbBWghz*1000000000)</f>
        <v>-33.466169856971575</v>
      </c>
      <c r="AK21" s="2" t="b">
        <f t="shared" si="15"/>
        <v>0</v>
      </c>
    </row>
    <row r="22" spans="1:37">
      <c r="A22" s="11">
        <v>0</v>
      </c>
      <c r="B22" s="11" t="s">
        <v>0</v>
      </c>
      <c r="C22" s="11">
        <v>0</v>
      </c>
      <c r="D22" s="11">
        <v>0</v>
      </c>
      <c r="E22" s="11">
        <v>0</v>
      </c>
      <c r="F22" s="11">
        <v>0</v>
      </c>
      <c r="G22" s="11">
        <v>0</v>
      </c>
      <c r="H22" s="11">
        <v>0</v>
      </c>
      <c r="I22" s="2">
        <f t="shared" si="2"/>
        <v>1.0000000000000001E-9</v>
      </c>
      <c r="J22" s="2">
        <f t="shared" si="3"/>
        <v>1000</v>
      </c>
      <c r="K22" s="2">
        <f t="shared" si="6"/>
        <v>970</v>
      </c>
      <c r="L22" s="2">
        <f t="shared" si="7"/>
        <v>0</v>
      </c>
      <c r="M22" s="2">
        <f t="shared" si="8"/>
        <v>0</v>
      </c>
      <c r="N22" s="2">
        <f t="shared" si="9"/>
        <v>0</v>
      </c>
      <c r="O22" s="2">
        <f t="shared" si="10"/>
        <v>0</v>
      </c>
      <c r="P22" s="2">
        <f t="shared" si="11"/>
        <v>0</v>
      </c>
      <c r="Q22" s="2">
        <f t="shared" si="12"/>
        <v>0</v>
      </c>
      <c r="R22" s="2">
        <f t="shared" si="13"/>
        <v>0</v>
      </c>
      <c r="T22" s="2">
        <f t="shared" si="16"/>
        <v>17</v>
      </c>
      <c r="U22" s="2">
        <f t="shared" si="14"/>
        <v>8.5480000000000036</v>
      </c>
      <c r="V22" s="2">
        <v>29.62</v>
      </c>
      <c r="W22" s="2">
        <v>6.28</v>
      </c>
      <c r="X22" s="2">
        <v>0.14000000000000001</v>
      </c>
      <c r="Y22" s="2">
        <v>0.03</v>
      </c>
      <c r="Z22" s="2">
        <v>0.22</v>
      </c>
      <c r="AA22" s="2">
        <v>10</v>
      </c>
      <c r="AC22" s="2">
        <f t="shared" si="5"/>
        <v>8.5480000000000036</v>
      </c>
      <c r="AD22" s="2">
        <f>CHOOSE(Preamp_DataType,SF_PreampGain,'7227'!B21,'7227'!B21,'7227'!B21,V22,0)</f>
        <v>18.322480000000002</v>
      </c>
      <c r="AE22" s="2">
        <f>CHOOSE(Preamp_DataType,SF_PreampNF,'7227'!E21,'7227'!E21,'7227'!E21,W22,0)</f>
        <v>4</v>
      </c>
      <c r="AF22" s="2">
        <f>CHOOSE(Preamp_DataType,SF_PreampGamIn,10^('7227'!F21/20),10^('7227'!F21/20),10^('7227'!F21/20),X22,0)</f>
        <v>0.3981071705534972</v>
      </c>
      <c r="AG22" s="2">
        <f>CHOOSE(Preamp_DataType,SF_PreampGamOut,10^('7227'!G21/20),10^('7227'!G21/20),10^('7227'!G21/20),Y22,0)</f>
        <v>0.28183829312644532</v>
      </c>
      <c r="AH22" s="2">
        <f>UseReverse*CHOOSE(Preamp_DataType,PreampRevRatio,'7227'!H21,'7227'!H21,'7227'!H21,Z22,0)</f>
        <v>0</v>
      </c>
      <c r="AI22" s="2">
        <f>CHOOSE(Preamp_DataType,sf_PreampP1dB,'7227'!I21,'7227'!I21,'7227'!I21,AA22,0)</f>
        <v>6</v>
      </c>
      <c r="AJ22" s="3">
        <f>10*LOG10((NseMeas!J21/NseMeas!BW)*P1dbBWghz*1000000000)</f>
        <v>-33.328957783875282</v>
      </c>
      <c r="AK22" s="2" t="b">
        <f t="shared" si="15"/>
        <v>0</v>
      </c>
    </row>
    <row r="23" spans="1:37">
      <c r="A23" s="11">
        <v>0</v>
      </c>
      <c r="B23" s="11" t="s">
        <v>0</v>
      </c>
      <c r="C23" s="11">
        <v>0</v>
      </c>
      <c r="D23" s="11">
        <v>0</v>
      </c>
      <c r="E23" s="11">
        <v>0</v>
      </c>
      <c r="F23" s="11">
        <v>0</v>
      </c>
      <c r="G23" s="11">
        <v>0</v>
      </c>
      <c r="H23" s="11">
        <v>0</v>
      </c>
      <c r="I23" s="2">
        <f t="shared" si="2"/>
        <v>1.0000000000000001E-9</v>
      </c>
      <c r="J23" s="2">
        <f t="shared" si="3"/>
        <v>1000</v>
      </c>
      <c r="K23" s="2">
        <f t="shared" si="6"/>
        <v>970</v>
      </c>
      <c r="L23" s="2">
        <f t="shared" si="7"/>
        <v>0</v>
      </c>
      <c r="M23" s="2">
        <f t="shared" si="8"/>
        <v>0</v>
      </c>
      <c r="N23" s="2">
        <f t="shared" si="9"/>
        <v>0</v>
      </c>
      <c r="O23" s="2">
        <f t="shared" si="10"/>
        <v>0</v>
      </c>
      <c r="P23" s="2">
        <f t="shared" si="11"/>
        <v>0</v>
      </c>
      <c r="Q23" s="2">
        <f t="shared" si="12"/>
        <v>0</v>
      </c>
      <c r="R23" s="2">
        <f t="shared" si="13"/>
        <v>0</v>
      </c>
      <c r="T23" s="2">
        <f t="shared" si="16"/>
        <v>18</v>
      </c>
      <c r="U23" s="2">
        <f t="shared" ref="U23:U38" si="17">IF($T$4&gt;=0,IF(U22&gt;=$T$5,$T$5+0.0001,U22+$T$4),IF(U22&lt;=$T$5,$T$5-0.0001,U22+$T$4))</f>
        <v>9.0760000000000041</v>
      </c>
      <c r="V23" s="2">
        <v>29.62</v>
      </c>
      <c r="W23" s="2">
        <v>6.28</v>
      </c>
      <c r="X23" s="2">
        <v>0.14000000000000001</v>
      </c>
      <c r="Y23" s="2">
        <v>0.03</v>
      </c>
      <c r="Z23" s="2">
        <v>0.22</v>
      </c>
      <c r="AA23" s="2">
        <v>10</v>
      </c>
      <c r="AC23" s="2">
        <f t="shared" si="5"/>
        <v>9.0760000000000041</v>
      </c>
      <c r="AD23" s="2">
        <f>CHOOSE(Preamp_DataType,SF_PreampGain,'7227'!B22,'7227'!B22,'7227'!B22,V23,0)</f>
        <v>18.459760000000003</v>
      </c>
      <c r="AE23" s="2">
        <f>CHOOSE(Preamp_DataType,SF_PreampNF,'7227'!E22,'7227'!E22,'7227'!E22,W23,0)</f>
        <v>4</v>
      </c>
      <c r="AF23" s="2">
        <f>CHOOSE(Preamp_DataType,SF_PreampGamIn,10^('7227'!F22/20),10^('7227'!F22/20),10^('7227'!F22/20),X23,0)</f>
        <v>0.3981071705534972</v>
      </c>
      <c r="AG23" s="2">
        <f>CHOOSE(Preamp_DataType,SF_PreampGamOut,10^('7227'!G22/20),10^('7227'!G22/20),10^('7227'!G22/20),Y23,0)</f>
        <v>0.28183829312644532</v>
      </c>
      <c r="AH23" s="2">
        <f>UseReverse*CHOOSE(Preamp_DataType,PreampRevRatio,'7227'!H22,'7227'!H22,'7227'!H22,Z23,0)</f>
        <v>0</v>
      </c>
      <c r="AI23" s="2">
        <f>CHOOSE(Preamp_DataType,sf_PreampP1dB,'7227'!I22,'7227'!I22,'7227'!I22,AA23,0)</f>
        <v>6</v>
      </c>
      <c r="AJ23" s="3">
        <f>10*LOG10((NseMeas!J22/NseMeas!BW)*P1dbBWghz*1000000000)</f>
        <v>-33.191743598211531</v>
      </c>
      <c r="AK23" s="2" t="b">
        <f t="shared" si="15"/>
        <v>0</v>
      </c>
    </row>
    <row r="24" spans="1:37">
      <c r="A24" s="11">
        <v>0</v>
      </c>
      <c r="B24" s="11" t="s">
        <v>0</v>
      </c>
      <c r="C24" s="11">
        <v>0</v>
      </c>
      <c r="D24" s="11">
        <v>0</v>
      </c>
      <c r="E24" s="11">
        <v>0</v>
      </c>
      <c r="F24" s="11">
        <v>0</v>
      </c>
      <c r="G24" s="11">
        <v>0</v>
      </c>
      <c r="H24" s="11">
        <v>0</v>
      </c>
      <c r="I24" s="2">
        <f t="shared" si="2"/>
        <v>1.0000000000000001E-9</v>
      </c>
      <c r="J24" s="2">
        <f t="shared" si="3"/>
        <v>1000</v>
      </c>
      <c r="K24" s="2">
        <f t="shared" si="6"/>
        <v>970</v>
      </c>
      <c r="L24" s="2">
        <f t="shared" si="7"/>
        <v>0</v>
      </c>
      <c r="M24" s="2">
        <f t="shared" si="8"/>
        <v>0</v>
      </c>
      <c r="N24" s="2">
        <f t="shared" si="9"/>
        <v>0</v>
      </c>
      <c r="O24" s="2">
        <f t="shared" si="10"/>
        <v>0</v>
      </c>
      <c r="P24" s="2">
        <f t="shared" si="11"/>
        <v>0</v>
      </c>
      <c r="Q24" s="2">
        <f t="shared" si="12"/>
        <v>0</v>
      </c>
      <c r="R24" s="2">
        <f t="shared" si="13"/>
        <v>0</v>
      </c>
      <c r="T24" s="2">
        <f t="shared" si="16"/>
        <v>19</v>
      </c>
      <c r="U24" s="2">
        <f t="shared" si="17"/>
        <v>9.6040000000000045</v>
      </c>
      <c r="V24" s="2">
        <v>29.62</v>
      </c>
      <c r="W24" s="2">
        <v>6.28</v>
      </c>
      <c r="X24" s="2">
        <v>0.14000000000000001</v>
      </c>
      <c r="Y24" s="2">
        <v>0.03</v>
      </c>
      <c r="Z24" s="2">
        <v>0.22</v>
      </c>
      <c r="AA24" s="2">
        <v>10</v>
      </c>
      <c r="AC24" s="2">
        <f t="shared" si="5"/>
        <v>9.6040000000000045</v>
      </c>
      <c r="AD24" s="2">
        <f>CHOOSE(Preamp_DataType,SF_PreampGain,'7227'!B23,'7227'!B23,'7227'!B23,V24,0)</f>
        <v>18.597040000000003</v>
      </c>
      <c r="AE24" s="2">
        <f>CHOOSE(Preamp_DataType,SF_PreampNF,'7227'!E23,'7227'!E23,'7227'!E23,W24,0)</f>
        <v>4</v>
      </c>
      <c r="AF24" s="2">
        <f>CHOOSE(Preamp_DataType,SF_PreampGamIn,10^('7227'!F23/20),10^('7227'!F23/20),10^('7227'!F23/20),X24,0)</f>
        <v>0.3981071705534972</v>
      </c>
      <c r="AG24" s="2">
        <f>CHOOSE(Preamp_DataType,SF_PreampGamOut,10^('7227'!G23/20),10^('7227'!G23/20),10^('7227'!G23/20),Y24,0)</f>
        <v>0.28183829312644532</v>
      </c>
      <c r="AH24" s="2">
        <f>UseReverse*CHOOSE(Preamp_DataType,PreampRevRatio,'7227'!H23,'7227'!H23,'7227'!H23,Z24,0)</f>
        <v>0</v>
      </c>
      <c r="AI24" s="2">
        <f>CHOOSE(Preamp_DataType,sf_PreampP1dB,'7227'!I23,'7227'!I23,'7227'!I23,AA24,0)</f>
        <v>6</v>
      </c>
      <c r="AJ24" s="3">
        <f>10*LOG10((NseMeas!J23/NseMeas!BW)*P1dbBWghz*1000000000)</f>
        <v>-33.054527365651914</v>
      </c>
      <c r="AK24" s="2" t="b">
        <f t="shared" si="15"/>
        <v>0</v>
      </c>
    </row>
    <row r="25" spans="1:37">
      <c r="A25" s="11">
        <v>0</v>
      </c>
      <c r="B25" s="11" t="s">
        <v>0</v>
      </c>
      <c r="C25" s="11">
        <v>0</v>
      </c>
      <c r="D25" s="11">
        <v>0</v>
      </c>
      <c r="E25" s="11">
        <v>0</v>
      </c>
      <c r="F25" s="11">
        <v>0</v>
      </c>
      <c r="G25" s="11">
        <v>0</v>
      </c>
      <c r="H25" s="11">
        <v>0</v>
      </c>
      <c r="I25" s="2">
        <f t="shared" si="2"/>
        <v>1.0000000000000001E-9</v>
      </c>
      <c r="J25" s="2">
        <f t="shared" si="3"/>
        <v>1000</v>
      </c>
      <c r="K25" s="2">
        <f t="shared" si="6"/>
        <v>970</v>
      </c>
      <c r="L25" s="2">
        <f t="shared" si="7"/>
        <v>0</v>
      </c>
      <c r="M25" s="2">
        <f t="shared" si="8"/>
        <v>0</v>
      </c>
      <c r="N25" s="2">
        <f t="shared" si="9"/>
        <v>0</v>
      </c>
      <c r="O25" s="2">
        <f t="shared" si="10"/>
        <v>0</v>
      </c>
      <c r="P25" s="2">
        <f t="shared" si="11"/>
        <v>0</v>
      </c>
      <c r="Q25" s="2">
        <f t="shared" si="12"/>
        <v>0</v>
      </c>
      <c r="R25" s="2">
        <f t="shared" si="13"/>
        <v>0</v>
      </c>
      <c r="T25" s="2">
        <f t="shared" si="16"/>
        <v>20</v>
      </c>
      <c r="U25" s="2">
        <f t="shared" si="17"/>
        <v>10.132000000000005</v>
      </c>
      <c r="V25" s="2">
        <v>29.62</v>
      </c>
      <c r="W25" s="2">
        <v>6.28</v>
      </c>
      <c r="X25" s="2">
        <v>0.14000000000000001</v>
      </c>
      <c r="Y25" s="2">
        <v>0.03</v>
      </c>
      <c r="Z25" s="2">
        <v>0.22</v>
      </c>
      <c r="AA25" s="2">
        <v>10</v>
      </c>
      <c r="AC25" s="2">
        <f t="shared" si="5"/>
        <v>10.132000000000005</v>
      </c>
      <c r="AD25" s="2">
        <f>CHOOSE(Preamp_DataType,SF_PreampGain,'7227'!B24,'7227'!B24,'7227'!B24,V25,0)</f>
        <v>18.734320000000004</v>
      </c>
      <c r="AE25" s="2">
        <f>CHOOSE(Preamp_DataType,SF_PreampNF,'7227'!E24,'7227'!E24,'7227'!E24,W25,0)</f>
        <v>4</v>
      </c>
      <c r="AF25" s="2">
        <f>CHOOSE(Preamp_DataType,SF_PreampGamIn,10^('7227'!F24/20),10^('7227'!F24/20),10^('7227'!F24/20),X25,0)</f>
        <v>0.3981071705534972</v>
      </c>
      <c r="AG25" s="2">
        <f>CHOOSE(Preamp_DataType,SF_PreampGamOut,10^('7227'!G24/20),10^('7227'!G24/20),10^('7227'!G24/20),Y25,0)</f>
        <v>0.28183829312644532</v>
      </c>
      <c r="AH25" s="2">
        <f>UseReverse*CHOOSE(Preamp_DataType,PreampRevRatio,'7227'!H24,'7227'!H24,'7227'!H24,Z25,0)</f>
        <v>0</v>
      </c>
      <c r="AI25" s="2">
        <f>CHOOSE(Preamp_DataType,sf_PreampP1dB,'7227'!I24,'7227'!I24,'7227'!I24,AA25,0)</f>
        <v>6</v>
      </c>
      <c r="AJ25" s="3">
        <f>10*LOG10((NseMeas!J24/NseMeas!BW)*P1dbBWghz*1000000000)</f>
        <v>-32.917309149828405</v>
      </c>
      <c r="AK25" s="2" t="b">
        <f t="shared" si="15"/>
        <v>0</v>
      </c>
    </row>
    <row r="26" spans="1:37">
      <c r="A26" s="11">
        <v>0</v>
      </c>
      <c r="B26" s="11" t="s">
        <v>0</v>
      </c>
      <c r="C26" s="11">
        <v>0</v>
      </c>
      <c r="D26" s="11">
        <v>0</v>
      </c>
      <c r="E26" s="11">
        <v>0</v>
      </c>
      <c r="F26" s="11">
        <v>0</v>
      </c>
      <c r="G26" s="11">
        <v>0</v>
      </c>
      <c r="H26" s="11">
        <v>0</v>
      </c>
      <c r="I26" s="2">
        <f t="shared" si="2"/>
        <v>1.0000000000000001E-9</v>
      </c>
      <c r="J26" s="2">
        <f t="shared" si="3"/>
        <v>1000</v>
      </c>
      <c r="K26" s="2">
        <f t="shared" si="6"/>
        <v>970</v>
      </c>
      <c r="L26" s="2">
        <f t="shared" si="7"/>
        <v>0</v>
      </c>
      <c r="M26" s="2">
        <f t="shared" si="8"/>
        <v>0</v>
      </c>
      <c r="N26" s="2">
        <f t="shared" si="9"/>
        <v>0</v>
      </c>
      <c r="O26" s="2">
        <f t="shared" si="10"/>
        <v>0</v>
      </c>
      <c r="P26" s="2">
        <f t="shared" si="11"/>
        <v>0</v>
      </c>
      <c r="Q26" s="2">
        <f t="shared" si="12"/>
        <v>0</v>
      </c>
      <c r="R26" s="2">
        <f t="shared" si="13"/>
        <v>0</v>
      </c>
      <c r="T26" s="2">
        <f t="shared" si="16"/>
        <v>21</v>
      </c>
      <c r="U26" s="2">
        <f t="shared" si="17"/>
        <v>10.660000000000005</v>
      </c>
      <c r="V26" s="2">
        <v>29.62</v>
      </c>
      <c r="W26" s="2">
        <v>6.28</v>
      </c>
      <c r="X26" s="2">
        <v>0.14000000000000001</v>
      </c>
      <c r="Y26" s="2">
        <v>0.03</v>
      </c>
      <c r="Z26" s="2">
        <v>0.22</v>
      </c>
      <c r="AA26" s="2">
        <v>10</v>
      </c>
      <c r="AC26" s="2">
        <f t="shared" si="5"/>
        <v>10.660000000000005</v>
      </c>
      <c r="AD26" s="2">
        <f>CHOOSE(Preamp_DataType,SF_PreampGain,'7227'!B25,'7227'!B25,'7227'!B25,V26,0)</f>
        <v>18.871600000000004</v>
      </c>
      <c r="AE26" s="2">
        <f>CHOOSE(Preamp_DataType,SF_PreampNF,'7227'!E25,'7227'!E25,'7227'!E25,W26,0)</f>
        <v>4</v>
      </c>
      <c r="AF26" s="2">
        <f>CHOOSE(Preamp_DataType,SF_PreampGamIn,10^('7227'!F25/20),10^('7227'!F25/20),10^('7227'!F25/20),X26,0)</f>
        <v>0.3981071705534972</v>
      </c>
      <c r="AG26" s="2">
        <f>CHOOSE(Preamp_DataType,SF_PreampGamOut,10^('7227'!G25/20),10^('7227'!G25/20),10^('7227'!G25/20),Y26,0)</f>
        <v>0.28183829312644532</v>
      </c>
      <c r="AH26" s="2">
        <f>UseReverse*CHOOSE(Preamp_DataType,PreampRevRatio,'7227'!H25,'7227'!H25,'7227'!H25,Z26,0)</f>
        <v>0</v>
      </c>
      <c r="AI26" s="2">
        <f>CHOOSE(Preamp_DataType,sf_PreampP1dB,'7227'!I25,'7227'!I25,'7227'!I25,AA26,0)</f>
        <v>6</v>
      </c>
      <c r="AJ26" s="3">
        <f>10*LOG10((NseMeas!J25/NseMeas!BW)*P1dbBWghz*1000000000)</f>
        <v>-32.780089012396587</v>
      </c>
      <c r="AK26" s="2" t="b">
        <f t="shared" si="15"/>
        <v>0</v>
      </c>
    </row>
    <row r="27" spans="1:37">
      <c r="A27" s="11">
        <v>0</v>
      </c>
      <c r="B27" s="11" t="s">
        <v>0</v>
      </c>
      <c r="C27" s="11">
        <v>0</v>
      </c>
      <c r="D27" s="11">
        <v>0</v>
      </c>
      <c r="E27" s="11">
        <v>0</v>
      </c>
      <c r="F27" s="11">
        <v>0</v>
      </c>
      <c r="G27" s="11">
        <v>0</v>
      </c>
      <c r="H27" s="11">
        <v>0</v>
      </c>
      <c r="I27" s="2">
        <f t="shared" si="2"/>
        <v>1.0000000000000001E-9</v>
      </c>
      <c r="J27" s="2">
        <f t="shared" si="3"/>
        <v>1000</v>
      </c>
      <c r="K27" s="2">
        <f t="shared" si="6"/>
        <v>970</v>
      </c>
      <c r="L27" s="2">
        <f t="shared" si="7"/>
        <v>0</v>
      </c>
      <c r="M27" s="2">
        <f t="shared" si="8"/>
        <v>0</v>
      </c>
      <c r="N27" s="2">
        <f t="shared" si="9"/>
        <v>0</v>
      </c>
      <c r="O27" s="2">
        <f t="shared" si="10"/>
        <v>0</v>
      </c>
      <c r="P27" s="2">
        <f t="shared" si="11"/>
        <v>0</v>
      </c>
      <c r="Q27" s="2">
        <f t="shared" si="12"/>
        <v>0</v>
      </c>
      <c r="R27" s="2">
        <f t="shared" si="13"/>
        <v>0</v>
      </c>
      <c r="T27" s="2">
        <f t="shared" si="16"/>
        <v>22</v>
      </c>
      <c r="U27" s="2">
        <f t="shared" si="17"/>
        <v>11.188000000000006</v>
      </c>
      <c r="V27" s="2">
        <v>29.62</v>
      </c>
      <c r="W27" s="2">
        <v>6.28</v>
      </c>
      <c r="X27" s="2">
        <v>0.14000000000000001</v>
      </c>
      <c r="Y27" s="2">
        <v>0.03</v>
      </c>
      <c r="Z27" s="2">
        <v>0.22</v>
      </c>
      <c r="AA27" s="2">
        <v>10</v>
      </c>
      <c r="AC27" s="2">
        <f t="shared" si="5"/>
        <v>11.188000000000006</v>
      </c>
      <c r="AD27" s="2">
        <f>CHOOSE(Preamp_DataType,SF_PreampGain,'7227'!B26,'7227'!B26,'7227'!B26,V27,0)</f>
        <v>19.008880000000005</v>
      </c>
      <c r="AE27" s="2">
        <f>CHOOSE(Preamp_DataType,SF_PreampNF,'7227'!E26,'7227'!E26,'7227'!E26,W27,0)</f>
        <v>4</v>
      </c>
      <c r="AF27" s="2">
        <f>CHOOSE(Preamp_DataType,SF_PreampGamIn,10^('7227'!F26/20),10^('7227'!F26/20),10^('7227'!F26/20),X27,0)</f>
        <v>0.3981071705534972</v>
      </c>
      <c r="AG27" s="2">
        <f>CHOOSE(Preamp_DataType,SF_PreampGamOut,10^('7227'!G26/20),10^('7227'!G26/20),10^('7227'!G26/20),Y27,0)</f>
        <v>0.28183829312644532</v>
      </c>
      <c r="AH27" s="2">
        <f>UseReverse*CHOOSE(Preamp_DataType,PreampRevRatio,'7227'!H26,'7227'!H26,'7227'!H26,Z27,0)</f>
        <v>0</v>
      </c>
      <c r="AI27" s="2">
        <f>CHOOSE(Preamp_DataType,sf_PreampP1dB,'7227'!I26,'7227'!I26,'7227'!I26,AA27,0)</f>
        <v>6</v>
      </c>
      <c r="AJ27" s="3">
        <f>10*LOG10((NseMeas!J26/NseMeas!BW)*P1dbBWghz*1000000000)</f>
        <v>-32.642867013096975</v>
      </c>
      <c r="AK27" s="2" t="b">
        <f t="shared" si="15"/>
        <v>0</v>
      </c>
    </row>
    <row r="28" spans="1:37">
      <c r="A28" s="11">
        <v>0</v>
      </c>
      <c r="B28" s="11" t="s">
        <v>0</v>
      </c>
      <c r="C28" s="11">
        <v>0</v>
      </c>
      <c r="D28" s="11">
        <v>0</v>
      </c>
      <c r="E28" s="11">
        <v>0</v>
      </c>
      <c r="F28" s="11">
        <v>0</v>
      </c>
      <c r="G28" s="11">
        <v>0</v>
      </c>
      <c r="H28" s="11">
        <v>0</v>
      </c>
      <c r="I28" s="2">
        <f t="shared" si="2"/>
        <v>1.0000000000000001E-9</v>
      </c>
      <c r="J28" s="2">
        <f t="shared" si="3"/>
        <v>1000</v>
      </c>
      <c r="K28" s="2">
        <f t="shared" si="6"/>
        <v>970</v>
      </c>
      <c r="L28" s="2">
        <f t="shared" si="7"/>
        <v>0</v>
      </c>
      <c r="M28" s="2">
        <f t="shared" si="8"/>
        <v>0</v>
      </c>
      <c r="N28" s="2">
        <f t="shared" si="9"/>
        <v>0</v>
      </c>
      <c r="O28" s="2">
        <f t="shared" si="10"/>
        <v>0</v>
      </c>
      <c r="P28" s="2">
        <f t="shared" si="11"/>
        <v>0</v>
      </c>
      <c r="Q28" s="2">
        <f t="shared" si="12"/>
        <v>0</v>
      </c>
      <c r="R28" s="2">
        <f t="shared" si="13"/>
        <v>0</v>
      </c>
      <c r="T28" s="2">
        <f t="shared" si="16"/>
        <v>23</v>
      </c>
      <c r="U28" s="2">
        <f t="shared" si="17"/>
        <v>11.716000000000006</v>
      </c>
      <c r="V28" s="2">
        <v>29.62</v>
      </c>
      <c r="W28" s="2">
        <v>6.28</v>
      </c>
      <c r="X28" s="2">
        <v>0.14000000000000001</v>
      </c>
      <c r="Y28" s="2">
        <v>0.03</v>
      </c>
      <c r="Z28" s="2">
        <v>0.22</v>
      </c>
      <c r="AA28" s="2">
        <v>10</v>
      </c>
      <c r="AC28" s="2">
        <f t="shared" si="5"/>
        <v>11.716000000000006</v>
      </c>
      <c r="AD28" s="2">
        <f>CHOOSE(Preamp_DataType,SF_PreampGain,'7227'!B27,'7227'!B27,'7227'!B27,V28,0)</f>
        <v>19.146160000000002</v>
      </c>
      <c r="AE28" s="2">
        <f>CHOOSE(Preamp_DataType,SF_PreampNF,'7227'!E27,'7227'!E27,'7227'!E27,W28,0)</f>
        <v>4</v>
      </c>
      <c r="AF28" s="2">
        <f>CHOOSE(Preamp_DataType,SF_PreampGamIn,10^('7227'!F27/20),10^('7227'!F27/20),10^('7227'!F27/20),X28,0)</f>
        <v>0.3981071705534972</v>
      </c>
      <c r="AG28" s="2">
        <f>CHOOSE(Preamp_DataType,SF_PreampGamOut,10^('7227'!G27/20),10^('7227'!G27/20),10^('7227'!G27/20),Y28,0)</f>
        <v>0.28183829312644532</v>
      </c>
      <c r="AH28" s="2">
        <f>UseReverse*CHOOSE(Preamp_DataType,PreampRevRatio,'7227'!H27,'7227'!H27,'7227'!H27,Z28,0)</f>
        <v>0</v>
      </c>
      <c r="AI28" s="2">
        <f>CHOOSE(Preamp_DataType,sf_PreampP1dB,'7227'!I27,'7227'!I27,'7227'!I27,AA28,0)</f>
        <v>6</v>
      </c>
      <c r="AJ28" s="3">
        <f>10*LOG10((NseMeas!J27/NseMeas!BW)*P1dbBWghz*1000000000)</f>
        <v>-32.505643209814345</v>
      </c>
      <c r="AK28" s="2" t="b">
        <f t="shared" si="15"/>
        <v>0</v>
      </c>
    </row>
    <row r="29" spans="1:37">
      <c r="A29" s="11">
        <v>0</v>
      </c>
      <c r="B29" s="11" t="s">
        <v>0</v>
      </c>
      <c r="C29" s="11">
        <v>0</v>
      </c>
      <c r="D29" s="11">
        <v>0</v>
      </c>
      <c r="E29" s="11">
        <v>0</v>
      </c>
      <c r="F29" s="11">
        <v>0</v>
      </c>
      <c r="G29" s="11">
        <v>0</v>
      </c>
      <c r="H29" s="11">
        <v>0</v>
      </c>
      <c r="I29" s="2">
        <f t="shared" si="2"/>
        <v>1.0000000000000001E-9</v>
      </c>
      <c r="J29" s="2">
        <f t="shared" si="3"/>
        <v>1000</v>
      </c>
      <c r="K29" s="2">
        <f t="shared" si="6"/>
        <v>970</v>
      </c>
      <c r="L29" s="2">
        <f t="shared" si="7"/>
        <v>0</v>
      </c>
      <c r="M29" s="2">
        <f t="shared" si="8"/>
        <v>0</v>
      </c>
      <c r="N29" s="2">
        <f t="shared" si="9"/>
        <v>0</v>
      </c>
      <c r="O29" s="2">
        <f t="shared" si="10"/>
        <v>0</v>
      </c>
      <c r="P29" s="2">
        <f t="shared" si="11"/>
        <v>0</v>
      </c>
      <c r="Q29" s="2">
        <f t="shared" si="12"/>
        <v>0</v>
      </c>
      <c r="R29" s="2">
        <f t="shared" si="13"/>
        <v>0</v>
      </c>
      <c r="T29" s="2">
        <f t="shared" si="16"/>
        <v>24</v>
      </c>
      <c r="U29" s="2">
        <f t="shared" si="17"/>
        <v>12.244000000000007</v>
      </c>
      <c r="V29" s="2">
        <v>26.48</v>
      </c>
      <c r="W29" s="2">
        <v>6.05</v>
      </c>
      <c r="X29" s="2">
        <v>0.23</v>
      </c>
      <c r="Y29" s="2">
        <v>0.1</v>
      </c>
      <c r="Z29" s="2">
        <v>0.2</v>
      </c>
      <c r="AA29" s="2">
        <v>10</v>
      </c>
      <c r="AC29" s="2">
        <f t="shared" si="5"/>
        <v>12.244000000000007</v>
      </c>
      <c r="AD29" s="2">
        <f>CHOOSE(Preamp_DataType,SF_PreampGain,'7227'!B28,'7227'!B28,'7227'!B28,V29,0)</f>
        <v>19.283440000000002</v>
      </c>
      <c r="AE29" s="2">
        <f>CHOOSE(Preamp_DataType,SF_PreampNF,'7227'!E28,'7227'!E28,'7227'!E28,W29,0)</f>
        <v>4</v>
      </c>
      <c r="AF29" s="2">
        <f>CHOOSE(Preamp_DataType,SF_PreampGamIn,10^('7227'!F28/20),10^('7227'!F28/20),10^('7227'!F28/20),X29,0)</f>
        <v>0.3981071705534972</v>
      </c>
      <c r="AG29" s="2">
        <f>CHOOSE(Preamp_DataType,SF_PreampGamOut,10^('7227'!G28/20),10^('7227'!G28/20),10^('7227'!G28/20),Y29,0)</f>
        <v>0.28183829312644532</v>
      </c>
      <c r="AH29" s="2">
        <f>UseReverse*CHOOSE(Preamp_DataType,PreampRevRatio,'7227'!H28,'7227'!H28,'7227'!H28,Z29,0)</f>
        <v>0</v>
      </c>
      <c r="AI29" s="2">
        <f>CHOOSE(Preamp_DataType,sf_PreampP1dB,'7227'!I28,'7227'!I28,'7227'!I28,AA29,0)</f>
        <v>6</v>
      </c>
      <c r="AJ29" s="3">
        <f>10*LOG10((NseMeas!J28/NseMeas!BW)*P1dbBWghz*1000000000)</f>
        <v>-32.368417658635316</v>
      </c>
      <c r="AK29" s="2" t="b">
        <f t="shared" si="15"/>
        <v>0</v>
      </c>
    </row>
    <row r="30" spans="1:37">
      <c r="A30" s="11">
        <v>0</v>
      </c>
      <c r="B30" s="11" t="s">
        <v>0</v>
      </c>
      <c r="C30" s="11">
        <v>0</v>
      </c>
      <c r="D30" s="11">
        <v>0</v>
      </c>
      <c r="E30" s="11">
        <v>0</v>
      </c>
      <c r="F30" s="11">
        <v>0</v>
      </c>
      <c r="G30" s="11">
        <v>0</v>
      </c>
      <c r="H30" s="11">
        <v>0</v>
      </c>
      <c r="I30" s="2">
        <f t="shared" si="2"/>
        <v>1.0000000000000001E-9</v>
      </c>
      <c r="J30" s="2">
        <f t="shared" si="3"/>
        <v>1000</v>
      </c>
      <c r="K30" s="2">
        <f t="shared" si="6"/>
        <v>970</v>
      </c>
      <c r="L30" s="2">
        <f t="shared" si="7"/>
        <v>0</v>
      </c>
      <c r="M30" s="2">
        <f t="shared" si="8"/>
        <v>0</v>
      </c>
      <c r="N30" s="2">
        <f t="shared" si="9"/>
        <v>0</v>
      </c>
      <c r="O30" s="2">
        <f t="shared" si="10"/>
        <v>0</v>
      </c>
      <c r="P30" s="2">
        <f t="shared" si="11"/>
        <v>0</v>
      </c>
      <c r="Q30" s="2">
        <f t="shared" si="12"/>
        <v>0</v>
      </c>
      <c r="R30" s="2">
        <f t="shared" si="13"/>
        <v>0</v>
      </c>
      <c r="T30" s="2">
        <f t="shared" si="16"/>
        <v>25</v>
      </c>
      <c r="U30" s="2">
        <f t="shared" si="17"/>
        <v>12.772000000000007</v>
      </c>
      <c r="V30" s="2">
        <v>26.48</v>
      </c>
      <c r="W30" s="2">
        <v>6.05</v>
      </c>
      <c r="X30" s="2">
        <v>0.23</v>
      </c>
      <c r="Y30" s="2">
        <v>0.1</v>
      </c>
      <c r="Z30" s="2">
        <v>0.2</v>
      </c>
      <c r="AA30" s="2">
        <v>10</v>
      </c>
      <c r="AC30" s="2">
        <f t="shared" si="5"/>
        <v>12.772000000000007</v>
      </c>
      <c r="AD30" s="2">
        <f>CHOOSE(Preamp_DataType,SF_PreampGain,'7227'!B29,'7227'!B29,'7227'!B29,V30,0)</f>
        <v>19.420720000000003</v>
      </c>
      <c r="AE30" s="2">
        <f>CHOOSE(Preamp_DataType,SF_PreampNF,'7227'!E29,'7227'!E29,'7227'!E29,W30,0)</f>
        <v>4</v>
      </c>
      <c r="AF30" s="2">
        <f>CHOOSE(Preamp_DataType,SF_PreampGamIn,10^('7227'!F29/20),10^('7227'!F29/20),10^('7227'!F29/20),X30,0)</f>
        <v>0.3981071705534972</v>
      </c>
      <c r="AG30" s="2">
        <f>CHOOSE(Preamp_DataType,SF_PreampGamOut,10^('7227'!G29/20),10^('7227'!G29/20),10^('7227'!G29/20),Y30,0)</f>
        <v>0.28183829312644532</v>
      </c>
      <c r="AH30" s="2">
        <f>UseReverse*CHOOSE(Preamp_DataType,PreampRevRatio,'7227'!H29,'7227'!H29,'7227'!H29,Z30,0)</f>
        <v>0</v>
      </c>
      <c r="AI30" s="2">
        <f>CHOOSE(Preamp_DataType,sf_PreampP1dB,'7227'!I29,'7227'!I29,'7227'!I29,AA30,0)</f>
        <v>6</v>
      </c>
      <c r="AJ30" s="3">
        <f>10*LOG10((NseMeas!J29/NseMeas!BW)*P1dbBWghz*1000000000)</f>
        <v>-32.231190413904123</v>
      </c>
      <c r="AK30" s="2" t="b">
        <f t="shared" si="15"/>
        <v>0</v>
      </c>
    </row>
    <row r="31" spans="1:37">
      <c r="A31" s="11">
        <v>0</v>
      </c>
      <c r="B31" s="11" t="s">
        <v>0</v>
      </c>
      <c r="C31" s="11">
        <v>0</v>
      </c>
      <c r="D31" s="11">
        <v>0</v>
      </c>
      <c r="E31" s="11">
        <v>0</v>
      </c>
      <c r="F31" s="11">
        <v>0</v>
      </c>
      <c r="G31" s="11">
        <v>0</v>
      </c>
      <c r="H31" s="11">
        <v>0</v>
      </c>
      <c r="I31" s="2">
        <f t="shared" si="2"/>
        <v>1.0000000000000001E-9</v>
      </c>
      <c r="J31" s="2">
        <f t="shared" si="3"/>
        <v>1000</v>
      </c>
      <c r="K31" s="2">
        <f t="shared" si="6"/>
        <v>970</v>
      </c>
      <c r="L31" s="2">
        <f t="shared" si="7"/>
        <v>0</v>
      </c>
      <c r="M31" s="2">
        <f t="shared" si="8"/>
        <v>0</v>
      </c>
      <c r="N31" s="2">
        <f t="shared" si="9"/>
        <v>0</v>
      </c>
      <c r="O31" s="2">
        <f t="shared" si="10"/>
        <v>0</v>
      </c>
      <c r="P31" s="2">
        <f t="shared" si="11"/>
        <v>0</v>
      </c>
      <c r="Q31" s="2">
        <f t="shared" si="12"/>
        <v>0</v>
      </c>
      <c r="R31" s="2">
        <f t="shared" si="13"/>
        <v>0</v>
      </c>
      <c r="T31" s="2">
        <f t="shared" si="16"/>
        <v>26</v>
      </c>
      <c r="U31" s="2">
        <f t="shared" si="17"/>
        <v>13.300000000000008</v>
      </c>
      <c r="V31" s="2">
        <v>26.48</v>
      </c>
      <c r="W31" s="2">
        <v>6.05</v>
      </c>
      <c r="X31" s="2">
        <v>0.23</v>
      </c>
      <c r="Y31" s="2">
        <v>0.1</v>
      </c>
      <c r="Z31" s="2">
        <v>0.2</v>
      </c>
      <c r="AA31" s="2">
        <v>10</v>
      </c>
      <c r="AC31" s="2">
        <f t="shared" si="5"/>
        <v>13.300000000000008</v>
      </c>
      <c r="AD31" s="2">
        <f>CHOOSE(Preamp_DataType,SF_PreampGain,'7227'!B30,'7227'!B30,'7227'!B30,V31,0)</f>
        <v>19.558000000000003</v>
      </c>
      <c r="AE31" s="2">
        <f>CHOOSE(Preamp_DataType,SF_PreampNF,'7227'!E30,'7227'!E30,'7227'!E30,W31,0)</f>
        <v>4</v>
      </c>
      <c r="AF31" s="2">
        <f>CHOOSE(Preamp_DataType,SF_PreampGamIn,10^('7227'!F30/20),10^('7227'!F30/20),10^('7227'!F30/20),X31,0)</f>
        <v>0.3981071705534972</v>
      </c>
      <c r="AG31" s="2">
        <f>CHOOSE(Preamp_DataType,SF_PreampGamOut,10^('7227'!G30/20),10^('7227'!G30/20),10^('7227'!G30/20),Y31,0)</f>
        <v>0.28183829312644532</v>
      </c>
      <c r="AH31" s="2">
        <f>UseReverse*CHOOSE(Preamp_DataType,PreampRevRatio,'7227'!H30,'7227'!H30,'7227'!H30,Z31,0)</f>
        <v>0</v>
      </c>
      <c r="AI31" s="2">
        <f>CHOOSE(Preamp_DataType,sf_PreampP1dB,'7227'!I30,'7227'!I30,'7227'!I30,AA31,0)</f>
        <v>6</v>
      </c>
      <c r="AJ31" s="3">
        <f>10*LOG10((NseMeas!J30/NseMeas!BW)*P1dbBWghz*1000000000)</f>
        <v>-32.092293682521479</v>
      </c>
      <c r="AK31" s="2" t="b">
        <f t="shared" si="15"/>
        <v>0</v>
      </c>
    </row>
    <row r="32" spans="1:37">
      <c r="A32" s="11">
        <v>0</v>
      </c>
      <c r="B32" s="11" t="s">
        <v>0</v>
      </c>
      <c r="C32" s="11">
        <v>0</v>
      </c>
      <c r="D32" s="11">
        <v>0</v>
      </c>
      <c r="E32" s="11">
        <v>0</v>
      </c>
      <c r="F32" s="11">
        <v>0</v>
      </c>
      <c r="G32" s="11">
        <v>0</v>
      </c>
      <c r="H32" s="11">
        <v>0</v>
      </c>
      <c r="I32" s="2">
        <f t="shared" si="2"/>
        <v>1.0000000000000001E-9</v>
      </c>
      <c r="J32" s="2">
        <f t="shared" si="3"/>
        <v>1000</v>
      </c>
      <c r="K32" s="2">
        <f t="shared" si="6"/>
        <v>970</v>
      </c>
      <c r="L32" s="2">
        <f t="shared" si="7"/>
        <v>0</v>
      </c>
      <c r="M32" s="2">
        <f t="shared" si="8"/>
        <v>0</v>
      </c>
      <c r="N32" s="2">
        <f t="shared" si="9"/>
        <v>0</v>
      </c>
      <c r="O32" s="2">
        <f t="shared" si="10"/>
        <v>0</v>
      </c>
      <c r="P32" s="2">
        <f t="shared" si="11"/>
        <v>0</v>
      </c>
      <c r="Q32" s="2">
        <f t="shared" si="12"/>
        <v>0</v>
      </c>
      <c r="R32" s="2">
        <f t="shared" si="13"/>
        <v>0</v>
      </c>
      <c r="T32" s="2">
        <f t="shared" si="16"/>
        <v>27</v>
      </c>
      <c r="U32" s="2">
        <f t="shared" si="17"/>
        <v>13.828000000000008</v>
      </c>
      <c r="V32" s="2">
        <v>26.48</v>
      </c>
      <c r="W32" s="2">
        <v>6.05</v>
      </c>
      <c r="X32" s="2">
        <v>0.23</v>
      </c>
      <c r="Y32" s="2">
        <v>0.1</v>
      </c>
      <c r="Z32" s="2">
        <v>0.2</v>
      </c>
      <c r="AA32" s="2">
        <v>10</v>
      </c>
      <c r="AC32" s="2">
        <f t="shared" si="5"/>
        <v>13.828000000000008</v>
      </c>
      <c r="AD32" s="2">
        <f>CHOOSE(Preamp_DataType,SF_PreampGain,'7227'!B31,'7227'!B31,'7227'!B31,V32,0)</f>
        <v>19.695280000000004</v>
      </c>
      <c r="AE32" s="2">
        <f>CHOOSE(Preamp_DataType,SF_PreampNF,'7227'!E31,'7227'!E31,'7227'!E31,W32,0)</f>
        <v>4</v>
      </c>
      <c r="AF32" s="2">
        <f>CHOOSE(Preamp_DataType,SF_PreampGamIn,10^('7227'!F31/20),10^('7227'!F31/20),10^('7227'!F31/20),X32,0)</f>
        <v>0.3981071705534972</v>
      </c>
      <c r="AG32" s="2">
        <f>CHOOSE(Preamp_DataType,SF_PreampGamOut,10^('7227'!G31/20),10^('7227'!G31/20),10^('7227'!G31/20),Y32,0)</f>
        <v>0.28183829312644532</v>
      </c>
      <c r="AH32" s="2">
        <f>UseReverse*CHOOSE(Preamp_DataType,PreampRevRatio,'7227'!H31,'7227'!H31,'7227'!H31,Z32,0)</f>
        <v>0</v>
      </c>
      <c r="AI32" s="2">
        <f>CHOOSE(Preamp_DataType,sf_PreampP1dB,'7227'!I31,'7227'!I31,'7227'!I31,AA32,0)</f>
        <v>6</v>
      </c>
      <c r="AJ32" s="3">
        <f>10*LOG10((NseMeas!J31/NseMeas!BW)*P1dbBWghz*1000000000)</f>
        <v>-31.955115074824892</v>
      </c>
      <c r="AK32" s="2" t="b">
        <f t="shared" si="15"/>
        <v>0</v>
      </c>
    </row>
    <row r="33" spans="1:37">
      <c r="A33" s="11">
        <v>0</v>
      </c>
      <c r="B33" s="11" t="s">
        <v>0</v>
      </c>
      <c r="C33" s="11">
        <v>0</v>
      </c>
      <c r="D33" s="11">
        <v>0</v>
      </c>
      <c r="E33" s="11">
        <v>0</v>
      </c>
      <c r="F33" s="11">
        <v>0</v>
      </c>
      <c r="G33" s="11">
        <v>0</v>
      </c>
      <c r="H33" s="11">
        <v>0</v>
      </c>
      <c r="I33" s="2">
        <f t="shared" si="2"/>
        <v>1.0000000000000001E-9</v>
      </c>
      <c r="J33" s="2">
        <f t="shared" si="3"/>
        <v>1000</v>
      </c>
      <c r="K33" s="2">
        <f t="shared" si="6"/>
        <v>970</v>
      </c>
      <c r="L33" s="2">
        <f t="shared" si="7"/>
        <v>0</v>
      </c>
      <c r="M33" s="2">
        <f t="shared" si="8"/>
        <v>0</v>
      </c>
      <c r="N33" s="2">
        <f t="shared" si="9"/>
        <v>0</v>
      </c>
      <c r="O33" s="2">
        <f t="shared" si="10"/>
        <v>0</v>
      </c>
      <c r="P33" s="2">
        <f t="shared" si="11"/>
        <v>0</v>
      </c>
      <c r="Q33" s="2">
        <f t="shared" si="12"/>
        <v>0</v>
      </c>
      <c r="R33" s="2">
        <f t="shared" si="13"/>
        <v>0</v>
      </c>
      <c r="T33" s="2">
        <f t="shared" si="16"/>
        <v>28</v>
      </c>
      <c r="U33" s="2">
        <f t="shared" si="17"/>
        <v>14.356000000000009</v>
      </c>
      <c r="V33" s="2">
        <v>26.48</v>
      </c>
      <c r="W33" s="2">
        <v>6.05</v>
      </c>
      <c r="X33" s="2">
        <v>0.23</v>
      </c>
      <c r="Y33" s="2">
        <v>0.1</v>
      </c>
      <c r="Z33" s="2">
        <v>0.2</v>
      </c>
      <c r="AA33" s="2">
        <v>10</v>
      </c>
      <c r="AC33" s="2">
        <f t="shared" si="5"/>
        <v>14.356000000000009</v>
      </c>
      <c r="AD33" s="2">
        <f>CHOOSE(Preamp_DataType,SF_PreampGain,'7227'!B32,'7227'!B32,'7227'!B32,V33,0)</f>
        <v>19.832560000000004</v>
      </c>
      <c r="AE33" s="2">
        <f>CHOOSE(Preamp_DataType,SF_PreampNF,'7227'!E32,'7227'!E32,'7227'!E32,W33,0)</f>
        <v>4</v>
      </c>
      <c r="AF33" s="2">
        <f>CHOOSE(Preamp_DataType,SF_PreampGamIn,10^('7227'!F32/20),10^('7227'!F32/20),10^('7227'!F32/20),X33,0)</f>
        <v>0.3981071705534972</v>
      </c>
      <c r="AG33" s="2">
        <f>CHOOSE(Preamp_DataType,SF_PreampGamOut,10^('7227'!G32/20),10^('7227'!G32/20),10^('7227'!G32/20),Y33,0)</f>
        <v>0.28183829312644532</v>
      </c>
      <c r="AH33" s="2">
        <f>UseReverse*CHOOSE(Preamp_DataType,PreampRevRatio,'7227'!H32,'7227'!H32,'7227'!H32,Z33,0)</f>
        <v>0</v>
      </c>
      <c r="AI33" s="2">
        <f>CHOOSE(Preamp_DataType,sf_PreampP1dB,'7227'!I32,'7227'!I32,'7227'!I32,AA33,0)</f>
        <v>6</v>
      </c>
      <c r="AJ33" s="3">
        <f>10*LOG10((NseMeas!J32/NseMeas!BW)*P1dbBWghz*1000000000)</f>
        <v>-31.817933314512096</v>
      </c>
      <c r="AK33" s="2" t="b">
        <f t="shared" si="15"/>
        <v>0</v>
      </c>
    </row>
    <row r="34" spans="1:37">
      <c r="A34" s="11">
        <v>0</v>
      </c>
      <c r="B34" s="11" t="s">
        <v>0</v>
      </c>
      <c r="C34" s="11">
        <v>0</v>
      </c>
      <c r="D34" s="11">
        <v>0</v>
      </c>
      <c r="E34" s="11">
        <v>0</v>
      </c>
      <c r="F34" s="11">
        <v>0</v>
      </c>
      <c r="G34" s="11">
        <v>0</v>
      </c>
      <c r="H34" s="11">
        <v>0</v>
      </c>
      <c r="I34" s="2">
        <f t="shared" si="2"/>
        <v>1.0000000000000001E-9</v>
      </c>
      <c r="J34" s="2">
        <f t="shared" si="3"/>
        <v>1000</v>
      </c>
      <c r="K34" s="2">
        <f t="shared" si="6"/>
        <v>970</v>
      </c>
      <c r="L34" s="2">
        <f t="shared" si="7"/>
        <v>0</v>
      </c>
      <c r="M34" s="2">
        <f t="shared" si="8"/>
        <v>0</v>
      </c>
      <c r="N34" s="2">
        <f t="shared" si="9"/>
        <v>0</v>
      </c>
      <c r="O34" s="2">
        <f t="shared" si="10"/>
        <v>0</v>
      </c>
      <c r="P34" s="2">
        <f t="shared" si="11"/>
        <v>0</v>
      </c>
      <c r="Q34" s="2">
        <f t="shared" si="12"/>
        <v>0</v>
      </c>
      <c r="R34" s="2">
        <f t="shared" si="13"/>
        <v>0</v>
      </c>
      <c r="T34" s="2">
        <f t="shared" si="16"/>
        <v>29</v>
      </c>
      <c r="U34" s="2">
        <f t="shared" si="17"/>
        <v>14.884000000000009</v>
      </c>
      <c r="V34" s="2">
        <v>26.48</v>
      </c>
      <c r="W34" s="2">
        <v>6.05</v>
      </c>
      <c r="X34" s="2">
        <v>0.23</v>
      </c>
      <c r="Y34" s="2">
        <v>0.1</v>
      </c>
      <c r="Z34" s="2">
        <v>0.2</v>
      </c>
      <c r="AA34" s="2">
        <v>10</v>
      </c>
      <c r="AC34" s="2">
        <f t="shared" si="5"/>
        <v>14.884000000000009</v>
      </c>
      <c r="AD34" s="2">
        <f>CHOOSE(Preamp_DataType,SF_PreampGain,'7227'!B33,'7227'!B33,'7227'!B33,V34,0)</f>
        <v>19.969840000000005</v>
      </c>
      <c r="AE34" s="2">
        <f>CHOOSE(Preamp_DataType,SF_PreampNF,'7227'!E33,'7227'!E33,'7227'!E33,W34,0)</f>
        <v>4</v>
      </c>
      <c r="AF34" s="2">
        <f>CHOOSE(Preamp_DataType,SF_PreampGamIn,10^('7227'!F33/20),10^('7227'!F33/20),10^('7227'!F33/20),X34,0)</f>
        <v>0.3981071705534972</v>
      </c>
      <c r="AG34" s="2">
        <f>CHOOSE(Preamp_DataType,SF_PreampGamOut,10^('7227'!G33/20),10^('7227'!G33/20),10^('7227'!G33/20),Y34,0)</f>
        <v>0.28183829312644532</v>
      </c>
      <c r="AH34" s="2">
        <f>UseReverse*CHOOSE(Preamp_DataType,PreampRevRatio,'7227'!H33,'7227'!H33,'7227'!H33,Z34,0)</f>
        <v>0</v>
      </c>
      <c r="AI34" s="2">
        <f>CHOOSE(Preamp_DataType,sf_PreampP1dB,'7227'!I33,'7227'!I33,'7227'!I33,AA34,0)</f>
        <v>6</v>
      </c>
      <c r="AJ34" s="3">
        <f>10*LOG10((NseMeas!J33/NseMeas!BW)*P1dbBWghz*1000000000)</f>
        <v>-31.680748499540137</v>
      </c>
      <c r="AK34" s="2" t="b">
        <f t="shared" si="15"/>
        <v>0</v>
      </c>
    </row>
    <row r="35" spans="1:37">
      <c r="A35" s="11">
        <v>0</v>
      </c>
      <c r="B35" s="11" t="s">
        <v>0</v>
      </c>
      <c r="C35" s="11">
        <v>0</v>
      </c>
      <c r="D35" s="11">
        <v>0</v>
      </c>
      <c r="E35" s="11">
        <v>0</v>
      </c>
      <c r="F35" s="11">
        <v>0</v>
      </c>
      <c r="G35" s="11">
        <v>0</v>
      </c>
      <c r="H35" s="11">
        <v>0</v>
      </c>
      <c r="I35" s="2">
        <f t="shared" si="2"/>
        <v>1.0000000000000001E-9</v>
      </c>
      <c r="J35" s="2">
        <f t="shared" si="3"/>
        <v>1000</v>
      </c>
      <c r="K35" s="2">
        <f t="shared" si="6"/>
        <v>970</v>
      </c>
      <c r="L35" s="2">
        <f t="shared" si="7"/>
        <v>0</v>
      </c>
      <c r="M35" s="2">
        <f t="shared" si="8"/>
        <v>0</v>
      </c>
      <c r="N35" s="2">
        <f t="shared" si="9"/>
        <v>0</v>
      </c>
      <c r="O35" s="2">
        <f t="shared" si="10"/>
        <v>0</v>
      </c>
      <c r="P35" s="2">
        <f t="shared" si="11"/>
        <v>0</v>
      </c>
      <c r="Q35" s="2">
        <f t="shared" si="12"/>
        <v>0</v>
      </c>
      <c r="R35" s="2">
        <f t="shared" si="13"/>
        <v>0</v>
      </c>
      <c r="T35" s="2">
        <f t="shared" si="16"/>
        <v>30</v>
      </c>
      <c r="U35" s="2">
        <f t="shared" si="17"/>
        <v>15.41200000000001</v>
      </c>
      <c r="V35" s="2">
        <v>26.48</v>
      </c>
      <c r="W35" s="2">
        <v>6.05</v>
      </c>
      <c r="X35" s="2">
        <v>0.23</v>
      </c>
      <c r="Y35" s="2">
        <v>0.1</v>
      </c>
      <c r="Z35" s="2">
        <v>0.2</v>
      </c>
      <c r="AA35" s="2">
        <v>10</v>
      </c>
      <c r="AC35" s="2">
        <f t="shared" si="5"/>
        <v>15.41200000000001</v>
      </c>
      <c r="AD35" s="2">
        <f>CHOOSE(Preamp_DataType,SF_PreampGain,'7227'!B34,'7227'!B34,'7227'!B34,V35,0)</f>
        <v>20.107120000000002</v>
      </c>
      <c r="AE35" s="2">
        <f>CHOOSE(Preamp_DataType,SF_PreampNF,'7227'!E34,'7227'!E34,'7227'!E34,W35,0)</f>
        <v>4</v>
      </c>
      <c r="AF35" s="2">
        <f>CHOOSE(Preamp_DataType,SF_PreampGamIn,10^('7227'!F34/20),10^('7227'!F34/20),10^('7227'!F34/20),X35,0)</f>
        <v>0.3981071705534972</v>
      </c>
      <c r="AG35" s="2">
        <f>CHOOSE(Preamp_DataType,SF_PreampGamOut,10^('7227'!G34/20),10^('7227'!G34/20),10^('7227'!G34/20),Y35,0)</f>
        <v>0.28183829312644532</v>
      </c>
      <c r="AH35" s="2">
        <f>UseReverse*CHOOSE(Preamp_DataType,PreampRevRatio,'7227'!H34,'7227'!H34,'7227'!H34,Z35,0)</f>
        <v>0</v>
      </c>
      <c r="AI35" s="2">
        <f>CHOOSE(Preamp_DataType,sf_PreampP1dB,'7227'!I34,'7227'!I34,'7227'!I34,AA35,0)</f>
        <v>6</v>
      </c>
      <c r="AJ35" s="3">
        <f>10*LOG10((NseMeas!J34/NseMeas!BW)*P1dbBWghz*1000000000)</f>
        <v>-31.543560724826577</v>
      </c>
      <c r="AK35" s="2" t="b">
        <f t="shared" si="15"/>
        <v>0</v>
      </c>
    </row>
    <row r="36" spans="1:37">
      <c r="A36" s="11">
        <v>0</v>
      </c>
      <c r="B36" s="11" t="s">
        <v>0</v>
      </c>
      <c r="C36" s="11">
        <v>0</v>
      </c>
      <c r="D36" s="11">
        <v>0</v>
      </c>
      <c r="E36" s="11">
        <v>0</v>
      </c>
      <c r="F36" s="11">
        <v>0</v>
      </c>
      <c r="G36" s="11">
        <v>0</v>
      </c>
      <c r="H36" s="11">
        <v>0</v>
      </c>
      <c r="I36" s="2">
        <f t="shared" si="2"/>
        <v>1.0000000000000001E-9</v>
      </c>
      <c r="J36" s="2">
        <f t="shared" si="3"/>
        <v>1000</v>
      </c>
      <c r="K36" s="2">
        <f t="shared" si="6"/>
        <v>970</v>
      </c>
      <c r="L36" s="2">
        <f t="shared" si="7"/>
        <v>0</v>
      </c>
      <c r="M36" s="2">
        <f t="shared" si="8"/>
        <v>0</v>
      </c>
      <c r="N36" s="2">
        <f t="shared" si="9"/>
        <v>0</v>
      </c>
      <c r="O36" s="2">
        <f t="shared" si="10"/>
        <v>0</v>
      </c>
      <c r="P36" s="2">
        <f t="shared" si="11"/>
        <v>0</v>
      </c>
      <c r="Q36" s="2">
        <f t="shared" si="12"/>
        <v>0</v>
      </c>
      <c r="R36" s="2">
        <f t="shared" si="13"/>
        <v>0</v>
      </c>
      <c r="T36" s="2">
        <f t="shared" si="16"/>
        <v>31</v>
      </c>
      <c r="U36" s="2">
        <f t="shared" si="17"/>
        <v>15.94000000000001</v>
      </c>
      <c r="V36" s="2">
        <v>26.48</v>
      </c>
      <c r="W36" s="2">
        <v>6.05</v>
      </c>
      <c r="X36" s="2">
        <v>0.23</v>
      </c>
      <c r="Y36" s="2">
        <v>0.1</v>
      </c>
      <c r="Z36" s="2">
        <v>0.2</v>
      </c>
      <c r="AA36" s="2">
        <v>10</v>
      </c>
      <c r="AC36" s="2">
        <f t="shared" si="5"/>
        <v>15.94000000000001</v>
      </c>
      <c r="AD36" s="2">
        <f>CHOOSE(Preamp_DataType,SF_PreampGain,'7227'!B35,'7227'!B35,'7227'!B35,V36,0)</f>
        <v>20.244400000000006</v>
      </c>
      <c r="AE36" s="2">
        <f>CHOOSE(Preamp_DataType,SF_PreampNF,'7227'!E35,'7227'!E35,'7227'!E35,W36,0)</f>
        <v>4</v>
      </c>
      <c r="AF36" s="2">
        <f>CHOOSE(Preamp_DataType,SF_PreampGamIn,10^('7227'!F35/20),10^('7227'!F35/20),10^('7227'!F35/20),X36,0)</f>
        <v>0.3981071705534972</v>
      </c>
      <c r="AG36" s="2">
        <f>CHOOSE(Preamp_DataType,SF_PreampGamOut,10^('7227'!G35/20),10^('7227'!G35/20),10^('7227'!G35/20),Y36,0)</f>
        <v>0.28183829312644532</v>
      </c>
      <c r="AH36" s="2">
        <f>UseReverse*CHOOSE(Preamp_DataType,PreampRevRatio,'7227'!H35,'7227'!H35,'7227'!H35,Z36,0)</f>
        <v>0</v>
      </c>
      <c r="AI36" s="2">
        <f>CHOOSE(Preamp_DataType,sf_PreampP1dB,'7227'!I35,'7227'!I35,'7227'!I35,AA36,0)</f>
        <v>6</v>
      </c>
      <c r="AJ36" s="3">
        <f>10*LOG10((NseMeas!J35/NseMeas!BW)*P1dbBWghz*1000000000)</f>
        <v>-31.406370082343461</v>
      </c>
      <c r="AK36" s="2" t="b">
        <f t="shared" si="15"/>
        <v>0</v>
      </c>
    </row>
    <row r="37" spans="1:37">
      <c r="A37" s="11">
        <v>0</v>
      </c>
      <c r="B37" s="11" t="s">
        <v>0</v>
      </c>
      <c r="C37" s="11">
        <v>0</v>
      </c>
      <c r="D37" s="11">
        <v>0</v>
      </c>
      <c r="E37" s="11">
        <v>0</v>
      </c>
      <c r="F37" s="11">
        <v>0</v>
      </c>
      <c r="G37" s="11">
        <v>0</v>
      </c>
      <c r="H37" s="11">
        <v>0</v>
      </c>
      <c r="I37" s="2">
        <f t="shared" si="2"/>
        <v>1.0000000000000001E-9</v>
      </c>
      <c r="J37" s="2">
        <f t="shared" si="3"/>
        <v>1000</v>
      </c>
      <c r="K37" s="2">
        <f t="shared" si="6"/>
        <v>970</v>
      </c>
      <c r="L37" s="2">
        <f t="shared" si="7"/>
        <v>0</v>
      </c>
      <c r="M37" s="2">
        <f t="shared" si="8"/>
        <v>0</v>
      </c>
      <c r="N37" s="2">
        <f t="shared" si="9"/>
        <v>0</v>
      </c>
      <c r="O37" s="2">
        <f t="shared" si="10"/>
        <v>0</v>
      </c>
      <c r="P37" s="2">
        <f t="shared" si="11"/>
        <v>0</v>
      </c>
      <c r="Q37" s="2">
        <f t="shared" si="12"/>
        <v>0</v>
      </c>
      <c r="R37" s="2">
        <f t="shared" si="13"/>
        <v>0</v>
      </c>
      <c r="T37" s="2">
        <f t="shared" si="16"/>
        <v>32</v>
      </c>
      <c r="U37" s="2">
        <f t="shared" si="17"/>
        <v>16.468000000000011</v>
      </c>
      <c r="V37" s="2">
        <v>26.48</v>
      </c>
      <c r="W37" s="2">
        <v>6.05</v>
      </c>
      <c r="X37" s="2">
        <v>0.23</v>
      </c>
      <c r="Y37" s="2">
        <v>0.1</v>
      </c>
      <c r="Z37" s="2">
        <v>0.2</v>
      </c>
      <c r="AA37" s="2">
        <v>10</v>
      </c>
      <c r="AC37" s="2">
        <f t="shared" si="5"/>
        <v>16.468000000000011</v>
      </c>
      <c r="AD37" s="2">
        <f>CHOOSE(Preamp_DataType,SF_PreampGain,'7227'!B36,'7227'!B36,'7227'!B36,V37,0)</f>
        <v>20.381680000000003</v>
      </c>
      <c r="AE37" s="2">
        <f>CHOOSE(Preamp_DataType,SF_PreampNF,'7227'!E36,'7227'!E36,'7227'!E36,W37,0)</f>
        <v>4</v>
      </c>
      <c r="AF37" s="2">
        <f>CHOOSE(Preamp_DataType,SF_PreampGamIn,10^('7227'!F36/20),10^('7227'!F36/20),10^('7227'!F36/20),X37,0)</f>
        <v>0.3981071705534972</v>
      </c>
      <c r="AG37" s="2">
        <f>CHOOSE(Preamp_DataType,SF_PreampGamOut,10^('7227'!G36/20),10^('7227'!G36/20),10^('7227'!G36/20),Y37,0)</f>
        <v>0.28183829312644532</v>
      </c>
      <c r="AH37" s="2">
        <f>UseReverse*CHOOSE(Preamp_DataType,PreampRevRatio,'7227'!H36,'7227'!H36,'7227'!H36,Z37,0)</f>
        <v>0</v>
      </c>
      <c r="AI37" s="2">
        <f>CHOOSE(Preamp_DataType,sf_PreampP1dB,'7227'!I36,'7227'!I36,'7227'!I36,AA37,0)</f>
        <v>6</v>
      </c>
      <c r="AJ37" s="3">
        <f>10*LOG10((NseMeas!J36/NseMeas!BW)*P1dbBWghz*1000000000)</f>
        <v>-31.269176661208572</v>
      </c>
      <c r="AK37" s="2" t="b">
        <f t="shared" si="15"/>
        <v>0</v>
      </c>
    </row>
    <row r="38" spans="1:37">
      <c r="A38" s="11">
        <v>0</v>
      </c>
      <c r="B38" s="11" t="s">
        <v>0</v>
      </c>
      <c r="C38" s="11">
        <v>0</v>
      </c>
      <c r="D38" s="11">
        <v>0</v>
      </c>
      <c r="E38" s="11">
        <v>0</v>
      </c>
      <c r="F38" s="11">
        <v>0</v>
      </c>
      <c r="G38" s="11">
        <v>0</v>
      </c>
      <c r="H38" s="11">
        <v>0</v>
      </c>
      <c r="I38" s="2">
        <f t="shared" ref="I38:I69" si="18">IF(UPPER(TRIM(B38))="MHZ",0.001,IF((UPPER(TRIM(B38)))="GHZ",1,IF(UPPER(TRIM(B38))="KHZ",0.000001,0.000000001)))</f>
        <v>1.0000000000000001E-9</v>
      </c>
      <c r="J38" s="2">
        <f t="shared" ref="J38:J69" si="19">IF(A38&gt;0,A38*I38,1000)</f>
        <v>1000</v>
      </c>
      <c r="K38" s="2">
        <f t="shared" si="6"/>
        <v>970</v>
      </c>
      <c r="L38" s="2">
        <f t="shared" si="7"/>
        <v>0</v>
      </c>
      <c r="M38" s="2">
        <f t="shared" si="8"/>
        <v>0</v>
      </c>
      <c r="N38" s="2">
        <f t="shared" si="9"/>
        <v>0</v>
      </c>
      <c r="O38" s="2">
        <f t="shared" si="10"/>
        <v>0</v>
      </c>
      <c r="P38" s="2">
        <f t="shared" si="11"/>
        <v>0</v>
      </c>
      <c r="Q38" s="2">
        <f t="shared" si="12"/>
        <v>0</v>
      </c>
      <c r="R38" s="2">
        <f t="shared" si="13"/>
        <v>0</v>
      </c>
      <c r="T38" s="2">
        <f t="shared" si="16"/>
        <v>33</v>
      </c>
      <c r="U38" s="2">
        <f t="shared" si="17"/>
        <v>16.996000000000009</v>
      </c>
      <c r="V38" s="2">
        <v>26.48</v>
      </c>
      <c r="W38" s="2">
        <v>6.05</v>
      </c>
      <c r="X38" s="2">
        <v>0.23</v>
      </c>
      <c r="Y38" s="2">
        <v>0.1</v>
      </c>
      <c r="Z38" s="2">
        <v>0.2</v>
      </c>
      <c r="AA38" s="2">
        <v>10</v>
      </c>
      <c r="AC38" s="2">
        <f t="shared" ref="AC38:AC69" si="20">U38</f>
        <v>16.996000000000009</v>
      </c>
      <c r="AD38" s="2">
        <f>CHOOSE(Preamp_DataType,SF_PreampGain,'7227'!B37,'7227'!B37,'7227'!B37,V38,0)</f>
        <v>20.518960000000003</v>
      </c>
      <c r="AE38" s="2">
        <f>CHOOSE(Preamp_DataType,SF_PreampNF,'7227'!E37,'7227'!E37,'7227'!E37,W38,0)</f>
        <v>4</v>
      </c>
      <c r="AF38" s="2">
        <f>CHOOSE(Preamp_DataType,SF_PreampGamIn,10^('7227'!F37/20),10^('7227'!F37/20),10^('7227'!F37/20),X38,0)</f>
        <v>0.3981071705534972</v>
      </c>
      <c r="AG38" s="2">
        <f>CHOOSE(Preamp_DataType,SF_PreampGamOut,10^('7227'!G37/20),10^('7227'!G37/20),10^('7227'!G37/20),Y38,0)</f>
        <v>0.28183829312644532</v>
      </c>
      <c r="AH38" s="2">
        <f>UseReverse*CHOOSE(Preamp_DataType,PreampRevRatio,'7227'!H37,'7227'!H37,'7227'!H37,Z38,0)</f>
        <v>0</v>
      </c>
      <c r="AI38" s="2">
        <f>CHOOSE(Preamp_DataType,sf_PreampP1dB,'7227'!I37,'7227'!I37,'7227'!I37,AA38,0)</f>
        <v>6</v>
      </c>
      <c r="AJ38" s="3">
        <f>10*LOG10((NseMeas!J37/NseMeas!BW)*P1dbBWghz*1000000000)</f>
        <v>-31.131980547773722</v>
      </c>
      <c r="AK38" s="2" t="b">
        <f t="shared" si="15"/>
        <v>0</v>
      </c>
    </row>
    <row r="39" spans="1:37">
      <c r="A39" s="11">
        <v>0</v>
      </c>
      <c r="B39" s="11" t="s">
        <v>0</v>
      </c>
      <c r="C39" s="11">
        <v>0</v>
      </c>
      <c r="D39" s="11">
        <v>0</v>
      </c>
      <c r="E39" s="11">
        <v>0</v>
      </c>
      <c r="F39" s="11">
        <v>0</v>
      </c>
      <c r="G39" s="11">
        <v>0</v>
      </c>
      <c r="H39" s="11">
        <v>0</v>
      </c>
      <c r="I39" s="2">
        <f t="shared" si="18"/>
        <v>1.0000000000000001E-9</v>
      </c>
      <c r="J39" s="2">
        <f t="shared" si="19"/>
        <v>1000</v>
      </c>
      <c r="K39" s="2">
        <f t="shared" si="6"/>
        <v>970</v>
      </c>
      <c r="L39" s="2">
        <f t="shared" si="7"/>
        <v>0</v>
      </c>
      <c r="M39" s="2">
        <f t="shared" ref="M39:M59" si="21">$L39*C39</f>
        <v>0</v>
      </c>
      <c r="N39" s="2">
        <f t="shared" ref="N39:N59" si="22">$L39*D39</f>
        <v>0</v>
      </c>
      <c r="O39" s="2">
        <f t="shared" ref="O39:O59" si="23">$L39*E39</f>
        <v>0</v>
      </c>
      <c r="P39" s="2">
        <f t="shared" ref="P39:P59" si="24">$L39*F39</f>
        <v>0</v>
      </c>
      <c r="Q39" s="2">
        <f t="shared" si="12"/>
        <v>0</v>
      </c>
      <c r="R39" s="2">
        <f t="shared" si="13"/>
        <v>0</v>
      </c>
      <c r="T39" s="2">
        <f t="shared" si="16"/>
        <v>34</v>
      </c>
      <c r="U39" s="2">
        <f t="shared" ref="U39:U54" si="25">IF($T$4&gt;=0,IF(U38&gt;=$T$5,$T$5+0.0001,U38+$T$4),IF(U38&lt;=$T$5,$T$5-0.0001,U38+$T$4))</f>
        <v>17.524000000000008</v>
      </c>
      <c r="V39" s="2">
        <v>26.48</v>
      </c>
      <c r="W39" s="2">
        <v>6.05</v>
      </c>
      <c r="X39" s="2">
        <v>0.23</v>
      </c>
      <c r="Y39" s="2">
        <v>0.1</v>
      </c>
      <c r="Z39" s="2">
        <v>0.2</v>
      </c>
      <c r="AA39" s="2">
        <v>10</v>
      </c>
      <c r="AC39" s="2">
        <f t="shared" si="20"/>
        <v>17.524000000000008</v>
      </c>
      <c r="AD39" s="2">
        <f>CHOOSE(Preamp_DataType,SF_PreampGain,'7227'!B38,'7227'!B38,'7227'!B38,V39,0)</f>
        <v>20.656240000000004</v>
      </c>
      <c r="AE39" s="2">
        <f>CHOOSE(Preamp_DataType,SF_PreampNF,'7227'!E38,'7227'!E38,'7227'!E38,W39,0)</f>
        <v>4</v>
      </c>
      <c r="AF39" s="2">
        <f>CHOOSE(Preamp_DataType,SF_PreampGamIn,10^('7227'!F38/20),10^('7227'!F38/20),10^('7227'!F38/20),X39,0)</f>
        <v>0.3981071705534972</v>
      </c>
      <c r="AG39" s="2">
        <f>CHOOSE(Preamp_DataType,SF_PreampGamOut,10^('7227'!G38/20),10^('7227'!G38/20),10^('7227'!G38/20),Y39,0)</f>
        <v>0.28183829312644532</v>
      </c>
      <c r="AH39" s="2">
        <f>UseReverse*CHOOSE(Preamp_DataType,PreampRevRatio,'7227'!H38,'7227'!H38,'7227'!H38,Z39,0)</f>
        <v>0</v>
      </c>
      <c r="AI39" s="2">
        <f>CHOOSE(Preamp_DataType,sf_PreampP1dB,'7227'!I38,'7227'!I38,'7227'!I38,AA39,0)</f>
        <v>6</v>
      </c>
      <c r="AJ39" s="3">
        <f>10*LOG10((NseMeas!J38/NseMeas!BW)*P1dbBWghz*1000000000)</f>
        <v>-30.994781825710412</v>
      </c>
      <c r="AK39" s="2" t="b">
        <f t="shared" si="15"/>
        <v>0</v>
      </c>
    </row>
    <row r="40" spans="1:37">
      <c r="A40" s="11">
        <v>0</v>
      </c>
      <c r="B40" s="11" t="s">
        <v>0</v>
      </c>
      <c r="C40" s="11">
        <v>0</v>
      </c>
      <c r="D40" s="11">
        <v>0</v>
      </c>
      <c r="E40" s="11">
        <v>0</v>
      </c>
      <c r="F40" s="11">
        <v>0</v>
      </c>
      <c r="G40" s="11">
        <v>0</v>
      </c>
      <c r="H40" s="11">
        <v>0</v>
      </c>
      <c r="I40" s="2">
        <f t="shared" si="18"/>
        <v>1.0000000000000001E-9</v>
      </c>
      <c r="J40" s="2">
        <f t="shared" si="19"/>
        <v>1000</v>
      </c>
      <c r="K40" s="2">
        <f t="shared" si="6"/>
        <v>970</v>
      </c>
      <c r="L40" s="2">
        <f t="shared" si="7"/>
        <v>0</v>
      </c>
      <c r="M40" s="2">
        <f t="shared" si="21"/>
        <v>0</v>
      </c>
      <c r="N40" s="2">
        <f t="shared" si="22"/>
        <v>0</v>
      </c>
      <c r="O40" s="2">
        <f t="shared" si="23"/>
        <v>0</v>
      </c>
      <c r="P40" s="2">
        <f t="shared" si="24"/>
        <v>0</v>
      </c>
      <c r="Q40" s="2">
        <f t="shared" si="12"/>
        <v>0</v>
      </c>
      <c r="R40" s="2">
        <f t="shared" si="13"/>
        <v>0</v>
      </c>
      <c r="T40" s="2">
        <f t="shared" si="16"/>
        <v>35</v>
      </c>
      <c r="U40" s="2">
        <f t="shared" si="25"/>
        <v>18.052000000000007</v>
      </c>
      <c r="V40" s="2">
        <v>26.48</v>
      </c>
      <c r="W40" s="2">
        <v>6.05</v>
      </c>
      <c r="X40" s="2">
        <v>0.23</v>
      </c>
      <c r="Y40" s="2">
        <v>0.1</v>
      </c>
      <c r="Z40" s="2">
        <v>0.2</v>
      </c>
      <c r="AA40" s="2">
        <v>10</v>
      </c>
      <c r="AC40" s="2">
        <f t="shared" si="20"/>
        <v>18.052000000000007</v>
      </c>
      <c r="AD40" s="2">
        <f>CHOOSE(Preamp_DataType,SF_PreampGain,'7227'!B39,'7227'!B39,'7227'!B39,V40,0)</f>
        <v>20.793520000000004</v>
      </c>
      <c r="AE40" s="2">
        <f>CHOOSE(Preamp_DataType,SF_PreampNF,'7227'!E39,'7227'!E39,'7227'!E39,W40,0)</f>
        <v>4</v>
      </c>
      <c r="AF40" s="2">
        <f>CHOOSE(Preamp_DataType,SF_PreampGamIn,10^('7227'!F39/20),10^('7227'!F39/20),10^('7227'!F39/20),X40,0)</f>
        <v>0.3981071705534972</v>
      </c>
      <c r="AG40" s="2">
        <f>CHOOSE(Preamp_DataType,SF_PreampGamOut,10^('7227'!G39/20),10^('7227'!G39/20),10^('7227'!G39/20),Y40,0)</f>
        <v>0.28183829312644532</v>
      </c>
      <c r="AH40" s="2">
        <f>UseReverse*CHOOSE(Preamp_DataType,PreampRevRatio,'7227'!H39,'7227'!H39,'7227'!H39,Z40,0)</f>
        <v>0</v>
      </c>
      <c r="AI40" s="2">
        <f>CHOOSE(Preamp_DataType,sf_PreampP1dB,'7227'!I39,'7227'!I39,'7227'!I39,AA40,0)</f>
        <v>6</v>
      </c>
      <c r="AJ40" s="3">
        <f>10*LOG10((NseMeas!J39/NseMeas!BW)*P1dbBWghz*1000000000)</f>
        <v>-30.856929239119136</v>
      </c>
      <c r="AK40" s="2" t="b">
        <f t="shared" si="15"/>
        <v>0</v>
      </c>
    </row>
    <row r="41" spans="1:37">
      <c r="A41" s="11">
        <v>0</v>
      </c>
      <c r="B41" s="11" t="s">
        <v>0</v>
      </c>
      <c r="C41" s="11">
        <v>0</v>
      </c>
      <c r="D41" s="11">
        <v>0</v>
      </c>
      <c r="E41" s="11">
        <v>0</v>
      </c>
      <c r="F41" s="11">
        <v>0</v>
      </c>
      <c r="G41" s="11">
        <v>0</v>
      </c>
      <c r="H41" s="11">
        <v>0</v>
      </c>
      <c r="I41" s="2">
        <f t="shared" si="18"/>
        <v>1.0000000000000001E-9</v>
      </c>
      <c r="J41" s="2">
        <f t="shared" si="19"/>
        <v>1000</v>
      </c>
      <c r="K41" s="2">
        <f t="shared" si="6"/>
        <v>970</v>
      </c>
      <c r="L41" s="2">
        <f t="shared" si="7"/>
        <v>0</v>
      </c>
      <c r="M41" s="2">
        <f t="shared" si="21"/>
        <v>0</v>
      </c>
      <c r="N41" s="2">
        <f t="shared" si="22"/>
        <v>0</v>
      </c>
      <c r="O41" s="2">
        <f t="shared" si="23"/>
        <v>0</v>
      </c>
      <c r="P41" s="2">
        <f t="shared" si="24"/>
        <v>0</v>
      </c>
      <c r="Q41" s="2">
        <f t="shared" si="12"/>
        <v>0</v>
      </c>
      <c r="R41" s="2">
        <f t="shared" si="13"/>
        <v>0</v>
      </c>
      <c r="T41" s="2">
        <f t="shared" si="16"/>
        <v>36</v>
      </c>
      <c r="U41" s="2">
        <f t="shared" si="25"/>
        <v>18.580000000000005</v>
      </c>
      <c r="V41" s="2">
        <v>26.48</v>
      </c>
      <c r="W41" s="2">
        <v>6.05</v>
      </c>
      <c r="X41" s="2">
        <v>0.23</v>
      </c>
      <c r="Y41" s="2">
        <v>0.1</v>
      </c>
      <c r="Z41" s="2">
        <v>0.2</v>
      </c>
      <c r="AA41" s="2">
        <v>10</v>
      </c>
      <c r="AC41" s="2">
        <f t="shared" si="20"/>
        <v>18.580000000000005</v>
      </c>
      <c r="AD41" s="2">
        <f>CHOOSE(Preamp_DataType,SF_PreampGain,'7227'!B40,'7227'!B40,'7227'!B40,V41,0)</f>
        <v>20.930800000000005</v>
      </c>
      <c r="AE41" s="2">
        <f>CHOOSE(Preamp_DataType,SF_PreampNF,'7227'!E40,'7227'!E40,'7227'!E40,W41,0)</f>
        <v>5</v>
      </c>
      <c r="AF41" s="2">
        <f>CHOOSE(Preamp_DataType,SF_PreampGamIn,10^('7227'!F40/20),10^('7227'!F40/20),10^('7227'!F40/20),X41,0)</f>
        <v>0.3981071705534972</v>
      </c>
      <c r="AG41" s="2">
        <f>CHOOSE(Preamp_DataType,SF_PreampGamOut,10^('7227'!G40/20),10^('7227'!G40/20),10^('7227'!G40/20),Y41,0)</f>
        <v>0.28183829312644532</v>
      </c>
      <c r="AH41" s="2">
        <f>UseReverse*CHOOSE(Preamp_DataType,PreampRevRatio,'7227'!H40,'7227'!H40,'7227'!H40,Z41,0)</f>
        <v>0</v>
      </c>
      <c r="AI41" s="2">
        <f>CHOOSE(Preamp_DataType,sf_PreampP1dB,'7227'!I40,'7227'!I40,'7227'!I40,AA41,0)</f>
        <v>5</v>
      </c>
      <c r="AJ41" s="3">
        <f>10*LOG10((NseMeas!J40/NseMeas!BW)*P1dbBWghz*1000000000)</f>
        <v>-30.714787266997202</v>
      </c>
      <c r="AK41" s="2" t="b">
        <f t="shared" si="15"/>
        <v>0</v>
      </c>
    </row>
    <row r="42" spans="1:37">
      <c r="A42" s="11">
        <v>0</v>
      </c>
      <c r="B42" s="11" t="s">
        <v>0</v>
      </c>
      <c r="C42" s="11">
        <v>0</v>
      </c>
      <c r="D42" s="11">
        <v>0</v>
      </c>
      <c r="E42" s="11">
        <v>0</v>
      </c>
      <c r="F42" s="11">
        <v>0</v>
      </c>
      <c r="G42" s="11">
        <v>0</v>
      </c>
      <c r="H42" s="11">
        <v>0</v>
      </c>
      <c r="I42" s="2">
        <f t="shared" si="18"/>
        <v>1.0000000000000001E-9</v>
      </c>
      <c r="J42" s="2">
        <f t="shared" si="19"/>
        <v>1000</v>
      </c>
      <c r="K42" s="2">
        <f t="shared" si="6"/>
        <v>970</v>
      </c>
      <c r="L42" s="2">
        <f t="shared" si="7"/>
        <v>0</v>
      </c>
      <c r="M42" s="2">
        <f t="shared" si="21"/>
        <v>0</v>
      </c>
      <c r="N42" s="2">
        <f t="shared" si="22"/>
        <v>0</v>
      </c>
      <c r="O42" s="2">
        <f t="shared" si="23"/>
        <v>0</v>
      </c>
      <c r="P42" s="2">
        <f t="shared" si="24"/>
        <v>0</v>
      </c>
      <c r="Q42" s="2">
        <f t="shared" si="12"/>
        <v>0</v>
      </c>
      <c r="R42" s="2">
        <f t="shared" si="13"/>
        <v>0</v>
      </c>
      <c r="T42" s="2">
        <f t="shared" si="16"/>
        <v>37</v>
      </c>
      <c r="U42" s="2">
        <f t="shared" si="25"/>
        <v>19.108000000000004</v>
      </c>
      <c r="V42" s="2">
        <v>26.48</v>
      </c>
      <c r="W42" s="2">
        <v>6.05</v>
      </c>
      <c r="X42" s="2">
        <v>0.23</v>
      </c>
      <c r="Y42" s="2">
        <v>0.1</v>
      </c>
      <c r="Z42" s="2">
        <v>0.2</v>
      </c>
      <c r="AA42" s="2">
        <v>10</v>
      </c>
      <c r="AC42" s="2">
        <f t="shared" si="20"/>
        <v>19.108000000000004</v>
      </c>
      <c r="AD42" s="2">
        <f>CHOOSE(Preamp_DataType,SF_PreampGain,'7227'!B41,'7227'!B41,'7227'!B41,V42,0)</f>
        <v>21.068080000000002</v>
      </c>
      <c r="AE42" s="2">
        <f>CHOOSE(Preamp_DataType,SF_PreampNF,'7227'!E41,'7227'!E41,'7227'!E41,W42,0)</f>
        <v>5</v>
      </c>
      <c r="AF42" s="2">
        <f>CHOOSE(Preamp_DataType,SF_PreampGamIn,10^('7227'!F41/20),10^('7227'!F41/20),10^('7227'!F41/20),X42,0)</f>
        <v>0.3981071705534972</v>
      </c>
      <c r="AG42" s="2">
        <f>CHOOSE(Preamp_DataType,SF_PreampGamOut,10^('7227'!G41/20),10^('7227'!G41/20),10^('7227'!G41/20),Y42,0)</f>
        <v>0.28183829312644532</v>
      </c>
      <c r="AH42" s="2">
        <f>UseReverse*CHOOSE(Preamp_DataType,PreampRevRatio,'7227'!H41,'7227'!H41,'7227'!H41,Z42,0)</f>
        <v>0</v>
      </c>
      <c r="AI42" s="2">
        <f>CHOOSE(Preamp_DataType,sf_PreampP1dB,'7227'!I41,'7227'!I41,'7227'!I41,AA42,0)</f>
        <v>5</v>
      </c>
      <c r="AJ42" s="3">
        <f>10*LOG10((NseMeas!J41/NseMeas!BW)*P1dbBWghz*1000000000)</f>
        <v>-30.577600713430066</v>
      </c>
      <c r="AK42" s="2" t="b">
        <f t="shared" si="15"/>
        <v>0</v>
      </c>
    </row>
    <row r="43" spans="1:37">
      <c r="A43" s="11">
        <v>0</v>
      </c>
      <c r="B43" s="11" t="s">
        <v>0</v>
      </c>
      <c r="C43" s="11">
        <v>0</v>
      </c>
      <c r="D43" s="11">
        <v>0</v>
      </c>
      <c r="E43" s="11">
        <v>0</v>
      </c>
      <c r="F43" s="11">
        <v>0</v>
      </c>
      <c r="G43" s="11">
        <v>0</v>
      </c>
      <c r="H43" s="11">
        <v>0</v>
      </c>
      <c r="I43" s="2">
        <f t="shared" si="18"/>
        <v>1.0000000000000001E-9</v>
      </c>
      <c r="J43" s="2">
        <f t="shared" si="19"/>
        <v>1000</v>
      </c>
      <c r="K43" s="2">
        <f t="shared" si="6"/>
        <v>970</v>
      </c>
      <c r="L43" s="2">
        <f t="shared" si="7"/>
        <v>0</v>
      </c>
      <c r="M43" s="2">
        <f t="shared" si="21"/>
        <v>0</v>
      </c>
      <c r="N43" s="2">
        <f t="shared" si="22"/>
        <v>0</v>
      </c>
      <c r="O43" s="2">
        <f t="shared" si="23"/>
        <v>0</v>
      </c>
      <c r="P43" s="2">
        <f t="shared" si="24"/>
        <v>0</v>
      </c>
      <c r="Q43" s="2">
        <f t="shared" si="12"/>
        <v>0</v>
      </c>
      <c r="R43" s="2">
        <f t="shared" si="13"/>
        <v>0</v>
      </c>
      <c r="T43" s="2">
        <f t="shared" si="16"/>
        <v>38</v>
      </c>
      <c r="U43" s="2">
        <f t="shared" si="25"/>
        <v>19.636000000000003</v>
      </c>
      <c r="V43" s="2">
        <v>26.48</v>
      </c>
      <c r="W43" s="2">
        <v>6.05</v>
      </c>
      <c r="X43" s="2">
        <v>0.23</v>
      </c>
      <c r="Y43" s="2">
        <v>0.1</v>
      </c>
      <c r="Z43" s="2">
        <v>0.2</v>
      </c>
      <c r="AA43" s="2">
        <v>10</v>
      </c>
      <c r="AC43" s="2">
        <f t="shared" si="20"/>
        <v>19.636000000000003</v>
      </c>
      <c r="AD43" s="2">
        <f>CHOOSE(Preamp_DataType,SF_PreampGain,'7227'!B42,'7227'!B42,'7227'!B42,V43,0)</f>
        <v>21.205360000000002</v>
      </c>
      <c r="AE43" s="2">
        <f>CHOOSE(Preamp_DataType,SF_PreampNF,'7227'!E42,'7227'!E42,'7227'!E42,W43,0)</f>
        <v>5</v>
      </c>
      <c r="AF43" s="2">
        <f>CHOOSE(Preamp_DataType,SF_PreampGamIn,10^('7227'!F42/20),10^('7227'!F42/20),10^('7227'!F42/20),X43,0)</f>
        <v>0.3981071705534972</v>
      </c>
      <c r="AG43" s="2">
        <f>CHOOSE(Preamp_DataType,SF_PreampGamOut,10^('7227'!G42/20),10^('7227'!G42/20),10^('7227'!G42/20),Y43,0)</f>
        <v>0.28183829312644532</v>
      </c>
      <c r="AH43" s="2">
        <f>UseReverse*CHOOSE(Preamp_DataType,PreampRevRatio,'7227'!H42,'7227'!H42,'7227'!H42,Z43,0)</f>
        <v>0</v>
      </c>
      <c r="AI43" s="2">
        <f>CHOOSE(Preamp_DataType,sf_PreampP1dB,'7227'!I42,'7227'!I42,'7227'!I42,AA43,0)</f>
        <v>5</v>
      </c>
      <c r="AJ43" s="3">
        <f>10*LOG10((NseMeas!J42/NseMeas!BW)*P1dbBWghz*1000000000)</f>
        <v>-30.440411254146564</v>
      </c>
      <c r="AK43" s="2" t="b">
        <f t="shared" si="15"/>
        <v>0</v>
      </c>
    </row>
    <row r="44" spans="1:37">
      <c r="A44" s="11">
        <v>0</v>
      </c>
      <c r="B44" s="11" t="s">
        <v>0</v>
      </c>
      <c r="C44" s="11">
        <v>0</v>
      </c>
      <c r="D44" s="11">
        <v>0</v>
      </c>
      <c r="E44" s="11">
        <v>0</v>
      </c>
      <c r="F44" s="11">
        <v>0</v>
      </c>
      <c r="G44" s="11">
        <v>0</v>
      </c>
      <c r="H44" s="11">
        <v>0</v>
      </c>
      <c r="I44" s="2">
        <f t="shared" si="18"/>
        <v>1.0000000000000001E-9</v>
      </c>
      <c r="J44" s="2">
        <f t="shared" si="19"/>
        <v>1000</v>
      </c>
      <c r="K44" s="2">
        <f t="shared" si="6"/>
        <v>970</v>
      </c>
      <c r="L44" s="2">
        <f t="shared" si="7"/>
        <v>0</v>
      </c>
      <c r="M44" s="2">
        <f t="shared" si="21"/>
        <v>0</v>
      </c>
      <c r="N44" s="2">
        <f t="shared" si="22"/>
        <v>0</v>
      </c>
      <c r="O44" s="2">
        <f t="shared" si="23"/>
        <v>0</v>
      </c>
      <c r="P44" s="2">
        <f t="shared" si="24"/>
        <v>0</v>
      </c>
      <c r="Q44" s="2">
        <f t="shared" si="12"/>
        <v>0</v>
      </c>
      <c r="R44" s="2">
        <f t="shared" si="13"/>
        <v>0</v>
      </c>
      <c r="T44" s="2">
        <f t="shared" si="16"/>
        <v>39</v>
      </c>
      <c r="U44" s="2">
        <f t="shared" si="25"/>
        <v>20.164000000000001</v>
      </c>
      <c r="V44" s="2">
        <v>26.48</v>
      </c>
      <c r="W44" s="2">
        <v>6.05</v>
      </c>
      <c r="X44" s="2">
        <v>0.23</v>
      </c>
      <c r="Y44" s="2">
        <v>0.1</v>
      </c>
      <c r="Z44" s="2">
        <v>0.2</v>
      </c>
      <c r="AA44" s="2">
        <v>10</v>
      </c>
      <c r="AC44" s="2">
        <f t="shared" si="20"/>
        <v>20.164000000000001</v>
      </c>
      <c r="AD44" s="2">
        <f>CHOOSE(Preamp_DataType,SF_PreampGain,'7227'!B43,'7227'!B43,'7227'!B43,V44,0)</f>
        <v>21.342640000000003</v>
      </c>
      <c r="AE44" s="2">
        <f>CHOOSE(Preamp_DataType,SF_PreampNF,'7227'!E43,'7227'!E43,'7227'!E43,W44,0)</f>
        <v>5</v>
      </c>
      <c r="AF44" s="2">
        <f>CHOOSE(Preamp_DataType,SF_PreampGamIn,10^('7227'!F43/20),10^('7227'!F43/20),10^('7227'!F43/20),X44,0)</f>
        <v>0.3981071705534972</v>
      </c>
      <c r="AG44" s="2">
        <f>CHOOSE(Preamp_DataType,SF_PreampGamOut,10^('7227'!G43/20),10^('7227'!G43/20),10^('7227'!G43/20),Y44,0)</f>
        <v>0.28183829312644532</v>
      </c>
      <c r="AH44" s="2">
        <f>UseReverse*CHOOSE(Preamp_DataType,PreampRevRatio,'7227'!H43,'7227'!H43,'7227'!H43,Z44,0)</f>
        <v>0</v>
      </c>
      <c r="AI44" s="2">
        <f>CHOOSE(Preamp_DataType,sf_PreampP1dB,'7227'!I43,'7227'!I43,'7227'!I43,AA44,0)</f>
        <v>5</v>
      </c>
      <c r="AJ44" s="3">
        <f>10*LOG10((NseMeas!J43/NseMeas!BW)*P1dbBWghz*1000000000)</f>
        <v>-30.303218979442171</v>
      </c>
      <c r="AK44" s="2" t="b">
        <f t="shared" si="15"/>
        <v>0</v>
      </c>
    </row>
    <row r="45" spans="1:37">
      <c r="A45" s="11">
        <v>0</v>
      </c>
      <c r="B45" s="11" t="s">
        <v>0</v>
      </c>
      <c r="C45" s="11">
        <v>0</v>
      </c>
      <c r="D45" s="11">
        <v>0</v>
      </c>
      <c r="E45" s="11">
        <v>0</v>
      </c>
      <c r="F45" s="11">
        <v>0</v>
      </c>
      <c r="G45" s="11">
        <v>0</v>
      </c>
      <c r="H45" s="11">
        <v>0</v>
      </c>
      <c r="I45" s="2">
        <f t="shared" si="18"/>
        <v>1.0000000000000001E-9</v>
      </c>
      <c r="J45" s="2">
        <f t="shared" si="19"/>
        <v>1000</v>
      </c>
      <c r="K45" s="2">
        <f t="shared" si="6"/>
        <v>970</v>
      </c>
      <c r="L45" s="2">
        <f t="shared" si="7"/>
        <v>0</v>
      </c>
      <c r="M45" s="2">
        <f t="shared" si="21"/>
        <v>0</v>
      </c>
      <c r="N45" s="2">
        <f t="shared" si="22"/>
        <v>0</v>
      </c>
      <c r="O45" s="2">
        <f t="shared" si="23"/>
        <v>0</v>
      </c>
      <c r="P45" s="2">
        <f t="shared" si="24"/>
        <v>0</v>
      </c>
      <c r="Q45" s="2">
        <f t="shared" si="12"/>
        <v>0</v>
      </c>
      <c r="R45" s="2">
        <f t="shared" si="13"/>
        <v>0</v>
      </c>
      <c r="T45" s="2">
        <f t="shared" si="16"/>
        <v>40</v>
      </c>
      <c r="U45" s="2">
        <f t="shared" si="25"/>
        <v>20.692</v>
      </c>
      <c r="V45" s="2">
        <v>26.48</v>
      </c>
      <c r="W45" s="2">
        <v>6.05</v>
      </c>
      <c r="X45" s="2">
        <v>0.23</v>
      </c>
      <c r="Y45" s="2">
        <v>0.1</v>
      </c>
      <c r="Z45" s="2">
        <v>0.2</v>
      </c>
      <c r="AA45" s="2">
        <v>10</v>
      </c>
      <c r="AC45" s="2">
        <f t="shared" si="20"/>
        <v>20.692</v>
      </c>
      <c r="AD45" s="2">
        <f>CHOOSE(Preamp_DataType,SF_PreampGain,'7227'!B44,'7227'!B44,'7227'!B44,V45,0)</f>
        <v>21.47992</v>
      </c>
      <c r="AE45" s="2">
        <f>CHOOSE(Preamp_DataType,SF_PreampNF,'7227'!E44,'7227'!E44,'7227'!E44,W45,0)</f>
        <v>5</v>
      </c>
      <c r="AF45" s="2">
        <f>CHOOSE(Preamp_DataType,SF_PreampGamIn,10^('7227'!F44/20),10^('7227'!F44/20),10^('7227'!F44/20),X45,0)</f>
        <v>0.3981071705534972</v>
      </c>
      <c r="AG45" s="2">
        <f>CHOOSE(Preamp_DataType,SF_PreampGamOut,10^('7227'!G44/20),10^('7227'!G44/20),10^('7227'!G44/20),Y45,0)</f>
        <v>0.28183829312644532</v>
      </c>
      <c r="AH45" s="2">
        <f>UseReverse*CHOOSE(Preamp_DataType,PreampRevRatio,'7227'!H44,'7227'!H44,'7227'!H44,Z45,0)</f>
        <v>0</v>
      </c>
      <c r="AI45" s="2">
        <f>CHOOSE(Preamp_DataType,sf_PreampP1dB,'7227'!I44,'7227'!I44,'7227'!I44,AA45,0)</f>
        <v>5</v>
      </c>
      <c r="AJ45" s="3">
        <f>10*LOG10((NseMeas!J44/NseMeas!BW)*P1dbBWghz*1000000000)</f>
        <v>-30.166023976809928</v>
      </c>
      <c r="AK45" s="2" t="b">
        <f t="shared" si="15"/>
        <v>0</v>
      </c>
    </row>
    <row r="46" spans="1:37">
      <c r="A46" s="11">
        <v>0</v>
      </c>
      <c r="B46" s="11" t="s">
        <v>0</v>
      </c>
      <c r="C46" s="11">
        <v>0</v>
      </c>
      <c r="D46" s="11">
        <v>0</v>
      </c>
      <c r="E46" s="11">
        <v>0</v>
      </c>
      <c r="F46" s="11">
        <v>0</v>
      </c>
      <c r="G46" s="11">
        <v>0</v>
      </c>
      <c r="H46" s="11">
        <v>0</v>
      </c>
      <c r="I46" s="2">
        <f t="shared" si="18"/>
        <v>1.0000000000000001E-9</v>
      </c>
      <c r="J46" s="2">
        <f t="shared" si="19"/>
        <v>1000</v>
      </c>
      <c r="K46" s="2">
        <f t="shared" si="6"/>
        <v>970</v>
      </c>
      <c r="L46" s="2">
        <f t="shared" si="7"/>
        <v>0</v>
      </c>
      <c r="M46" s="2">
        <f t="shared" si="21"/>
        <v>0</v>
      </c>
      <c r="N46" s="2">
        <f t="shared" si="22"/>
        <v>0</v>
      </c>
      <c r="O46" s="2">
        <f t="shared" si="23"/>
        <v>0</v>
      </c>
      <c r="P46" s="2">
        <f t="shared" si="24"/>
        <v>0</v>
      </c>
      <c r="Q46" s="2">
        <f t="shared" si="12"/>
        <v>0</v>
      </c>
      <c r="R46" s="2">
        <f t="shared" si="13"/>
        <v>0</v>
      </c>
      <c r="T46" s="2">
        <f t="shared" si="16"/>
        <v>41</v>
      </c>
      <c r="U46" s="2">
        <f t="shared" si="25"/>
        <v>21.22</v>
      </c>
      <c r="V46" s="2">
        <v>26.48</v>
      </c>
      <c r="W46" s="2">
        <v>6.05</v>
      </c>
      <c r="X46" s="2">
        <v>0.23</v>
      </c>
      <c r="Y46" s="2">
        <v>0.1</v>
      </c>
      <c r="Z46" s="2">
        <v>0.2</v>
      </c>
      <c r="AA46" s="2">
        <v>10</v>
      </c>
      <c r="AC46" s="2">
        <f t="shared" si="20"/>
        <v>21.22</v>
      </c>
      <c r="AD46" s="2">
        <f>CHOOSE(Preamp_DataType,SF_PreampGain,'7227'!B45,'7227'!B45,'7227'!B45,V46,0)</f>
        <v>21.6172</v>
      </c>
      <c r="AE46" s="2">
        <f>CHOOSE(Preamp_DataType,SF_PreampNF,'7227'!E45,'7227'!E45,'7227'!E45,W46,0)</f>
        <v>5</v>
      </c>
      <c r="AF46" s="2">
        <f>CHOOSE(Preamp_DataType,SF_PreampGamIn,10^('7227'!F45/20),10^('7227'!F45/20),10^('7227'!F45/20),X46,0)</f>
        <v>0.3981071705534972</v>
      </c>
      <c r="AG46" s="2">
        <f>CHOOSE(Preamp_DataType,SF_PreampGamOut,10^('7227'!G45/20),10^('7227'!G45/20),10^('7227'!G45/20),Y46,0)</f>
        <v>0.28183829312644532</v>
      </c>
      <c r="AH46" s="2">
        <f>UseReverse*CHOOSE(Preamp_DataType,PreampRevRatio,'7227'!H45,'7227'!H45,'7227'!H45,Z46,0)</f>
        <v>0</v>
      </c>
      <c r="AI46" s="2">
        <f>CHOOSE(Preamp_DataType,sf_PreampP1dB,'7227'!I45,'7227'!I45,'7227'!I45,AA46,0)</f>
        <v>5</v>
      </c>
      <c r="AJ46" s="3">
        <f>10*LOG10((NseMeas!J45/NseMeas!BW)*P1dbBWghz*1000000000)</f>
        <v>-30.028826331027236</v>
      </c>
      <c r="AK46" s="2" t="b">
        <f t="shared" si="15"/>
        <v>0</v>
      </c>
    </row>
    <row r="47" spans="1:37">
      <c r="A47" s="11">
        <v>0</v>
      </c>
      <c r="B47" s="11" t="s">
        <v>0</v>
      </c>
      <c r="C47" s="11">
        <v>0</v>
      </c>
      <c r="D47" s="11">
        <v>0</v>
      </c>
      <c r="E47" s="11">
        <v>0</v>
      </c>
      <c r="F47" s="11">
        <v>0</v>
      </c>
      <c r="G47" s="11">
        <v>0</v>
      </c>
      <c r="H47" s="11">
        <v>0</v>
      </c>
      <c r="I47" s="2">
        <f t="shared" si="18"/>
        <v>1.0000000000000001E-9</v>
      </c>
      <c r="J47" s="2">
        <f t="shared" si="19"/>
        <v>1000</v>
      </c>
      <c r="K47" s="2">
        <f t="shared" si="6"/>
        <v>970</v>
      </c>
      <c r="L47" s="2">
        <f t="shared" si="7"/>
        <v>0</v>
      </c>
      <c r="M47" s="2">
        <f t="shared" si="21"/>
        <v>0</v>
      </c>
      <c r="N47" s="2">
        <f t="shared" si="22"/>
        <v>0</v>
      </c>
      <c r="O47" s="2">
        <f t="shared" si="23"/>
        <v>0</v>
      </c>
      <c r="P47" s="2">
        <f t="shared" si="24"/>
        <v>0</v>
      </c>
      <c r="Q47" s="2">
        <f t="shared" si="12"/>
        <v>0</v>
      </c>
      <c r="R47" s="2">
        <f t="shared" si="13"/>
        <v>0</v>
      </c>
      <c r="T47" s="2">
        <f t="shared" si="16"/>
        <v>42</v>
      </c>
      <c r="U47" s="2">
        <f t="shared" si="25"/>
        <v>21.747999999999998</v>
      </c>
      <c r="V47" s="2">
        <v>26.48</v>
      </c>
      <c r="W47" s="2">
        <v>6.05</v>
      </c>
      <c r="X47" s="2">
        <v>0.23</v>
      </c>
      <c r="Y47" s="2">
        <v>0.1</v>
      </c>
      <c r="Z47" s="2">
        <v>0.2</v>
      </c>
      <c r="AA47" s="2">
        <v>10</v>
      </c>
      <c r="AC47" s="2">
        <f t="shared" si="20"/>
        <v>21.747999999999998</v>
      </c>
      <c r="AD47" s="2">
        <f>CHOOSE(Preamp_DataType,SF_PreampGain,'7227'!B46,'7227'!B46,'7227'!B46,V47,0)</f>
        <v>21.754480000000001</v>
      </c>
      <c r="AE47" s="2">
        <f>CHOOSE(Preamp_DataType,SF_PreampNF,'7227'!E46,'7227'!E46,'7227'!E46,W47,0)</f>
        <v>5</v>
      </c>
      <c r="AF47" s="2">
        <f>CHOOSE(Preamp_DataType,SF_PreampGamIn,10^('7227'!F46/20),10^('7227'!F46/20),10^('7227'!F46/20),X47,0)</f>
        <v>0.3981071705534972</v>
      </c>
      <c r="AG47" s="2">
        <f>CHOOSE(Preamp_DataType,SF_PreampGamOut,10^('7227'!G46/20),10^('7227'!G46/20),10^('7227'!G46/20),Y47,0)</f>
        <v>0.28183829312644532</v>
      </c>
      <c r="AH47" s="2">
        <f>UseReverse*CHOOSE(Preamp_DataType,PreampRevRatio,'7227'!H46,'7227'!H46,'7227'!H46,Z47,0)</f>
        <v>0</v>
      </c>
      <c r="AI47" s="2">
        <f>CHOOSE(Preamp_DataType,sf_PreampP1dB,'7227'!I46,'7227'!I46,'7227'!I46,AA47,0)</f>
        <v>5</v>
      </c>
      <c r="AJ47" s="3">
        <f>10*LOG10((NseMeas!J46/NseMeas!BW)*P1dbBWghz*1000000000)</f>
        <v>-29.891626124239941</v>
      </c>
      <c r="AK47" s="2" t="b">
        <f t="shared" si="15"/>
        <v>0</v>
      </c>
    </row>
    <row r="48" spans="1:37">
      <c r="A48" s="11">
        <v>0</v>
      </c>
      <c r="B48" s="11" t="s">
        <v>0</v>
      </c>
      <c r="C48" s="11">
        <v>0</v>
      </c>
      <c r="D48" s="11">
        <v>0</v>
      </c>
      <c r="E48" s="11">
        <v>0</v>
      </c>
      <c r="F48" s="11">
        <v>0</v>
      </c>
      <c r="G48" s="11">
        <v>0</v>
      </c>
      <c r="H48" s="11">
        <v>0</v>
      </c>
      <c r="I48" s="2">
        <f t="shared" si="18"/>
        <v>1.0000000000000001E-9</v>
      </c>
      <c r="J48" s="2">
        <f t="shared" si="19"/>
        <v>1000</v>
      </c>
      <c r="K48" s="2">
        <f t="shared" si="6"/>
        <v>970</v>
      </c>
      <c r="L48" s="2">
        <f t="shared" si="7"/>
        <v>0</v>
      </c>
      <c r="M48" s="2">
        <f t="shared" si="21"/>
        <v>0</v>
      </c>
      <c r="N48" s="2">
        <f t="shared" si="22"/>
        <v>0</v>
      </c>
      <c r="O48" s="2">
        <f t="shared" si="23"/>
        <v>0</v>
      </c>
      <c r="P48" s="2">
        <f t="shared" si="24"/>
        <v>0</v>
      </c>
      <c r="Q48" s="2">
        <f t="shared" si="12"/>
        <v>0</v>
      </c>
      <c r="R48" s="2">
        <f t="shared" si="13"/>
        <v>0</v>
      </c>
      <c r="T48" s="2">
        <f t="shared" si="16"/>
        <v>43</v>
      </c>
      <c r="U48" s="2">
        <f t="shared" si="25"/>
        <v>22.275999999999996</v>
      </c>
      <c r="V48" s="2">
        <v>26.48</v>
      </c>
      <c r="W48" s="2">
        <v>6.05</v>
      </c>
      <c r="X48" s="2">
        <v>0.23</v>
      </c>
      <c r="Y48" s="2">
        <v>0.1</v>
      </c>
      <c r="Z48" s="2">
        <v>0.2</v>
      </c>
      <c r="AA48" s="2">
        <v>10</v>
      </c>
      <c r="AC48" s="2">
        <f t="shared" si="20"/>
        <v>22.275999999999996</v>
      </c>
      <c r="AD48" s="2">
        <f>CHOOSE(Preamp_DataType,SF_PreampGain,'7227'!B47,'7227'!B47,'7227'!B47,V48,0)</f>
        <v>21.891760000000001</v>
      </c>
      <c r="AE48" s="2">
        <f>CHOOSE(Preamp_DataType,SF_PreampNF,'7227'!E47,'7227'!E47,'7227'!E47,W48,0)</f>
        <v>5</v>
      </c>
      <c r="AF48" s="2">
        <f>CHOOSE(Preamp_DataType,SF_PreampGamIn,10^('7227'!F47/20),10^('7227'!F47/20),10^('7227'!F47/20),X48,0)</f>
        <v>0.3981071705534972</v>
      </c>
      <c r="AG48" s="2">
        <f>CHOOSE(Preamp_DataType,SF_PreampGamOut,10^('7227'!G47/20),10^('7227'!G47/20),10^('7227'!G47/20),Y48,0)</f>
        <v>0.28183829312644532</v>
      </c>
      <c r="AH48" s="2">
        <f>UseReverse*CHOOSE(Preamp_DataType,PreampRevRatio,'7227'!H47,'7227'!H47,'7227'!H47,Z48,0)</f>
        <v>0</v>
      </c>
      <c r="AI48" s="2">
        <f>CHOOSE(Preamp_DataType,sf_PreampP1dB,'7227'!I47,'7227'!I47,'7227'!I47,AA48,0)</f>
        <v>5</v>
      </c>
      <c r="AJ48" s="3">
        <f>10*LOG10((NseMeas!J47/NseMeas!BW)*P1dbBWghz*1000000000)</f>
        <v>-29.752986780538173</v>
      </c>
      <c r="AK48" s="2" t="b">
        <f t="shared" si="15"/>
        <v>0</v>
      </c>
    </row>
    <row r="49" spans="1:37">
      <c r="A49" s="11">
        <v>0</v>
      </c>
      <c r="B49" s="11" t="s">
        <v>0</v>
      </c>
      <c r="C49" s="11">
        <v>0</v>
      </c>
      <c r="D49" s="11">
        <v>0</v>
      </c>
      <c r="E49" s="11">
        <v>0</v>
      </c>
      <c r="F49" s="11">
        <v>0</v>
      </c>
      <c r="G49" s="11">
        <v>0</v>
      </c>
      <c r="H49" s="11">
        <v>0</v>
      </c>
      <c r="I49" s="2">
        <f t="shared" si="18"/>
        <v>1.0000000000000001E-9</v>
      </c>
      <c r="J49" s="2">
        <f t="shared" si="19"/>
        <v>1000</v>
      </c>
      <c r="K49" s="2">
        <f t="shared" si="6"/>
        <v>970</v>
      </c>
      <c r="L49" s="2">
        <f t="shared" si="7"/>
        <v>0</v>
      </c>
      <c r="M49" s="2">
        <f t="shared" si="21"/>
        <v>0</v>
      </c>
      <c r="N49" s="2">
        <f t="shared" si="22"/>
        <v>0</v>
      </c>
      <c r="O49" s="2">
        <f t="shared" si="23"/>
        <v>0</v>
      </c>
      <c r="P49" s="2">
        <f t="shared" si="24"/>
        <v>0</v>
      </c>
      <c r="Q49" s="2">
        <f t="shared" si="12"/>
        <v>0</v>
      </c>
      <c r="R49" s="2">
        <f t="shared" si="13"/>
        <v>0</v>
      </c>
      <c r="T49" s="2">
        <f t="shared" si="16"/>
        <v>44</v>
      </c>
      <c r="U49" s="2">
        <f t="shared" si="25"/>
        <v>22.803999999999995</v>
      </c>
      <c r="V49" s="2">
        <v>28.45</v>
      </c>
      <c r="W49" s="2">
        <v>5.36</v>
      </c>
      <c r="X49" s="2">
        <v>0.14000000000000001</v>
      </c>
      <c r="Y49" s="2">
        <v>0.06</v>
      </c>
      <c r="Z49" s="2">
        <v>0.15</v>
      </c>
      <c r="AA49" s="2">
        <v>10</v>
      </c>
      <c r="AC49" s="2">
        <f t="shared" si="20"/>
        <v>22.803999999999995</v>
      </c>
      <c r="AD49" s="2">
        <f>CHOOSE(Preamp_DataType,SF_PreampGain,'7227'!B48,'7227'!B48,'7227'!B48,V49,0)</f>
        <v>22.029040000000002</v>
      </c>
      <c r="AE49" s="2">
        <f>CHOOSE(Preamp_DataType,SF_PreampNF,'7227'!E48,'7227'!E48,'7227'!E48,W49,0)</f>
        <v>5</v>
      </c>
      <c r="AF49" s="2">
        <f>CHOOSE(Preamp_DataType,SF_PreampGamIn,10^('7227'!F48/20),10^('7227'!F48/20),10^('7227'!F48/20),X49,0)</f>
        <v>0.3981071705534972</v>
      </c>
      <c r="AG49" s="2">
        <f>CHOOSE(Preamp_DataType,SF_PreampGamOut,10^('7227'!G48/20),10^('7227'!G48/20),10^('7227'!G48/20),Y49,0)</f>
        <v>0.28183829312644532</v>
      </c>
      <c r="AH49" s="2">
        <f>UseReverse*CHOOSE(Preamp_DataType,PreampRevRatio,'7227'!H48,'7227'!H48,'7227'!H48,Z49,0)</f>
        <v>0</v>
      </c>
      <c r="AI49" s="2">
        <f>CHOOSE(Preamp_DataType,sf_PreampP1dB,'7227'!I48,'7227'!I48,'7227'!I48,AA49,0)</f>
        <v>5</v>
      </c>
      <c r="AJ49" s="3">
        <f>10*LOG10((NseMeas!J48/NseMeas!BW)*P1dbBWghz*1000000000)</f>
        <v>-29.61582635917064</v>
      </c>
      <c r="AK49" s="2" t="b">
        <f t="shared" si="15"/>
        <v>0</v>
      </c>
    </row>
    <row r="50" spans="1:37">
      <c r="A50" s="11">
        <v>0</v>
      </c>
      <c r="B50" s="11" t="s">
        <v>0</v>
      </c>
      <c r="C50" s="11">
        <v>0</v>
      </c>
      <c r="D50" s="11">
        <v>0</v>
      </c>
      <c r="E50" s="11">
        <v>0</v>
      </c>
      <c r="F50" s="11">
        <v>0</v>
      </c>
      <c r="G50" s="11">
        <v>0</v>
      </c>
      <c r="H50" s="11">
        <v>0</v>
      </c>
      <c r="I50" s="2">
        <f t="shared" si="18"/>
        <v>1.0000000000000001E-9</v>
      </c>
      <c r="J50" s="2">
        <f t="shared" si="19"/>
        <v>1000</v>
      </c>
      <c r="K50" s="2">
        <f t="shared" si="6"/>
        <v>970</v>
      </c>
      <c r="L50" s="2">
        <f t="shared" si="7"/>
        <v>0</v>
      </c>
      <c r="M50" s="2">
        <f t="shared" si="21"/>
        <v>0</v>
      </c>
      <c r="N50" s="2">
        <f t="shared" si="22"/>
        <v>0</v>
      </c>
      <c r="O50" s="2">
        <f t="shared" si="23"/>
        <v>0</v>
      </c>
      <c r="P50" s="2">
        <f t="shared" si="24"/>
        <v>0</v>
      </c>
      <c r="Q50" s="2">
        <f t="shared" si="12"/>
        <v>0</v>
      </c>
      <c r="R50" s="2">
        <f t="shared" si="13"/>
        <v>0</v>
      </c>
      <c r="T50" s="2">
        <f t="shared" si="16"/>
        <v>45</v>
      </c>
      <c r="U50" s="2">
        <f t="shared" si="25"/>
        <v>23.331999999999994</v>
      </c>
      <c r="V50" s="2">
        <v>28.45</v>
      </c>
      <c r="W50" s="2">
        <v>5.36</v>
      </c>
      <c r="X50" s="2">
        <v>0.14000000000000001</v>
      </c>
      <c r="Y50" s="2">
        <v>0.06</v>
      </c>
      <c r="Z50" s="2">
        <v>0.15</v>
      </c>
      <c r="AA50" s="2">
        <v>10</v>
      </c>
      <c r="AC50" s="2">
        <f t="shared" si="20"/>
        <v>23.331999999999994</v>
      </c>
      <c r="AD50" s="2">
        <f>CHOOSE(Preamp_DataType,SF_PreampGain,'7227'!B49,'7227'!B49,'7227'!B49,V50,0)</f>
        <v>22.166319999999999</v>
      </c>
      <c r="AE50" s="2">
        <f>CHOOSE(Preamp_DataType,SF_PreampNF,'7227'!E49,'7227'!E49,'7227'!E49,W50,0)</f>
        <v>5</v>
      </c>
      <c r="AF50" s="2">
        <f>CHOOSE(Preamp_DataType,SF_PreampGamIn,10^('7227'!F49/20),10^('7227'!F49/20),10^('7227'!F49/20),X50,0)</f>
        <v>0.3981071705534972</v>
      </c>
      <c r="AG50" s="2">
        <f>CHOOSE(Preamp_DataType,SF_PreampGamOut,10^('7227'!G49/20),10^('7227'!G49/20),10^('7227'!G49/20),Y50,0)</f>
        <v>0.28183829312644532</v>
      </c>
      <c r="AH50" s="2">
        <f>UseReverse*CHOOSE(Preamp_DataType,PreampRevRatio,'7227'!H49,'7227'!H49,'7227'!H49,Z50,0)</f>
        <v>0</v>
      </c>
      <c r="AI50" s="2">
        <f>CHOOSE(Preamp_DataType,sf_PreampP1dB,'7227'!I49,'7227'!I49,'7227'!I49,AA50,0)</f>
        <v>5</v>
      </c>
      <c r="AJ50" s="3">
        <f>10*LOG10((NseMeas!J49/NseMeas!BW)*P1dbBWghz*1000000000)</f>
        <v>-29.478662220192465</v>
      </c>
      <c r="AK50" s="2" t="b">
        <f t="shared" si="15"/>
        <v>0</v>
      </c>
    </row>
    <row r="51" spans="1:37">
      <c r="A51" s="11">
        <v>0</v>
      </c>
      <c r="B51" s="11" t="s">
        <v>0</v>
      </c>
      <c r="C51" s="11">
        <v>0</v>
      </c>
      <c r="D51" s="11">
        <v>0</v>
      </c>
      <c r="E51" s="11">
        <v>0</v>
      </c>
      <c r="F51" s="11">
        <v>0</v>
      </c>
      <c r="G51" s="11">
        <v>0</v>
      </c>
      <c r="H51" s="11">
        <v>0</v>
      </c>
      <c r="I51" s="2">
        <f t="shared" si="18"/>
        <v>1.0000000000000001E-9</v>
      </c>
      <c r="J51" s="2">
        <f t="shared" si="19"/>
        <v>1000</v>
      </c>
      <c r="K51" s="2">
        <f t="shared" si="6"/>
        <v>970</v>
      </c>
      <c r="L51" s="2">
        <f t="shared" si="7"/>
        <v>0</v>
      </c>
      <c r="M51" s="2">
        <f t="shared" si="21"/>
        <v>0</v>
      </c>
      <c r="N51" s="2">
        <f t="shared" si="22"/>
        <v>0</v>
      </c>
      <c r="O51" s="2">
        <f t="shared" si="23"/>
        <v>0</v>
      </c>
      <c r="P51" s="2">
        <f t="shared" si="24"/>
        <v>0</v>
      </c>
      <c r="Q51" s="2">
        <f t="shared" si="12"/>
        <v>0</v>
      </c>
      <c r="R51" s="2">
        <f t="shared" si="13"/>
        <v>0</v>
      </c>
      <c r="T51" s="2">
        <f t="shared" si="16"/>
        <v>46</v>
      </c>
      <c r="U51" s="2">
        <f t="shared" si="25"/>
        <v>23.859999999999992</v>
      </c>
      <c r="V51" s="2">
        <v>28.45</v>
      </c>
      <c r="W51" s="2">
        <v>5.36</v>
      </c>
      <c r="X51" s="2">
        <v>0.14000000000000001</v>
      </c>
      <c r="Y51" s="2">
        <v>0.06</v>
      </c>
      <c r="Z51" s="2">
        <v>0.15</v>
      </c>
      <c r="AA51" s="2">
        <v>10</v>
      </c>
      <c r="AC51" s="2">
        <f t="shared" si="20"/>
        <v>23.859999999999992</v>
      </c>
      <c r="AD51" s="2">
        <f>CHOOSE(Preamp_DataType,SF_PreampGain,'7227'!B50,'7227'!B50,'7227'!B50,V51,0)</f>
        <v>22.303599999999999</v>
      </c>
      <c r="AE51" s="2">
        <f>CHOOSE(Preamp_DataType,SF_PreampNF,'7227'!E50,'7227'!E50,'7227'!E50,W51,0)</f>
        <v>5</v>
      </c>
      <c r="AF51" s="2">
        <f>CHOOSE(Preamp_DataType,SF_PreampGamIn,10^('7227'!F50/20),10^('7227'!F50/20),10^('7227'!F50/20),X51,0)</f>
        <v>0.3981071705534972</v>
      </c>
      <c r="AG51" s="2">
        <f>CHOOSE(Preamp_DataType,SF_PreampGamOut,10^('7227'!G50/20),10^('7227'!G50/20),10^('7227'!G50/20),Y51,0)</f>
        <v>0.28183829312644532</v>
      </c>
      <c r="AH51" s="2">
        <f>UseReverse*CHOOSE(Preamp_DataType,PreampRevRatio,'7227'!H50,'7227'!H50,'7227'!H50,Z51,0)</f>
        <v>0</v>
      </c>
      <c r="AI51" s="2">
        <f>CHOOSE(Preamp_DataType,sf_PreampP1dB,'7227'!I50,'7227'!I50,'7227'!I50,AA51,0)</f>
        <v>5</v>
      </c>
      <c r="AJ51" s="3">
        <f>10*LOG10((NseMeas!J50/NseMeas!BW)*P1dbBWghz*1000000000)</f>
        <v>-29.341494479086776</v>
      </c>
      <c r="AK51" s="2" t="b">
        <f t="shared" si="15"/>
        <v>0</v>
      </c>
    </row>
    <row r="52" spans="1:37">
      <c r="A52" s="11">
        <v>0</v>
      </c>
      <c r="B52" s="11" t="s">
        <v>0</v>
      </c>
      <c r="C52" s="11">
        <v>0</v>
      </c>
      <c r="D52" s="11">
        <v>0</v>
      </c>
      <c r="E52" s="11">
        <v>0</v>
      </c>
      <c r="F52" s="11">
        <v>0</v>
      </c>
      <c r="G52" s="11">
        <v>0</v>
      </c>
      <c r="H52" s="11">
        <v>0</v>
      </c>
      <c r="I52" s="2">
        <f t="shared" si="18"/>
        <v>1.0000000000000001E-9</v>
      </c>
      <c r="J52" s="2">
        <f t="shared" si="19"/>
        <v>1000</v>
      </c>
      <c r="K52" s="2">
        <f t="shared" si="6"/>
        <v>970</v>
      </c>
      <c r="L52" s="2">
        <f t="shared" si="7"/>
        <v>0</v>
      </c>
      <c r="M52" s="2">
        <f t="shared" si="21"/>
        <v>0</v>
      </c>
      <c r="N52" s="2">
        <f t="shared" si="22"/>
        <v>0</v>
      </c>
      <c r="O52" s="2">
        <f t="shared" si="23"/>
        <v>0</v>
      </c>
      <c r="P52" s="2">
        <f t="shared" si="24"/>
        <v>0</v>
      </c>
      <c r="Q52" s="2">
        <f t="shared" si="12"/>
        <v>0</v>
      </c>
      <c r="R52" s="2">
        <f t="shared" si="13"/>
        <v>0</v>
      </c>
      <c r="T52" s="2">
        <f t="shared" si="16"/>
        <v>47</v>
      </c>
      <c r="U52" s="2">
        <f t="shared" si="25"/>
        <v>24.387999999999991</v>
      </c>
      <c r="V52" s="2">
        <v>28.45</v>
      </c>
      <c r="W52" s="2">
        <v>5.36</v>
      </c>
      <c r="X52" s="2">
        <v>0.14000000000000001</v>
      </c>
      <c r="Y52" s="2">
        <v>0.06</v>
      </c>
      <c r="Z52" s="2">
        <v>0.15</v>
      </c>
      <c r="AA52" s="2">
        <v>10</v>
      </c>
      <c r="AC52" s="2">
        <f t="shared" si="20"/>
        <v>24.387999999999991</v>
      </c>
      <c r="AD52" s="2">
        <f>CHOOSE(Preamp_DataType,SF_PreampGain,'7227'!B51,'7227'!B51,'7227'!B51,V52,0)</f>
        <v>22.44088</v>
      </c>
      <c r="AE52" s="2">
        <f>CHOOSE(Preamp_DataType,SF_PreampNF,'7227'!E51,'7227'!E51,'7227'!E51,W52,0)</f>
        <v>5</v>
      </c>
      <c r="AF52" s="2">
        <f>CHOOSE(Preamp_DataType,SF_PreampGamIn,10^('7227'!F51/20),10^('7227'!F51/20),10^('7227'!F51/20),X52,0)</f>
        <v>0.3981071705534972</v>
      </c>
      <c r="AG52" s="2">
        <f>CHOOSE(Preamp_DataType,SF_PreampGamOut,10^('7227'!G51/20),10^('7227'!G51/20),10^('7227'!G51/20),Y52,0)</f>
        <v>0.28183829312644532</v>
      </c>
      <c r="AH52" s="2">
        <f>UseReverse*CHOOSE(Preamp_DataType,PreampRevRatio,'7227'!H51,'7227'!H51,'7227'!H51,Z52,0)</f>
        <v>0</v>
      </c>
      <c r="AI52" s="2">
        <f>CHOOSE(Preamp_DataType,sf_PreampP1dB,'7227'!I51,'7227'!I51,'7227'!I51,AA52,0)</f>
        <v>5</v>
      </c>
      <c r="AJ52" s="3">
        <f>10*LOG10((NseMeas!J51/NseMeas!BW)*P1dbBWghz*1000000000)</f>
        <v>-29.204323247755191</v>
      </c>
      <c r="AK52" s="2" t="b">
        <f t="shared" si="15"/>
        <v>0</v>
      </c>
    </row>
    <row r="53" spans="1:37">
      <c r="A53" s="11">
        <v>0</v>
      </c>
      <c r="B53" s="11" t="s">
        <v>0</v>
      </c>
      <c r="C53" s="11">
        <v>0</v>
      </c>
      <c r="D53" s="11">
        <v>0</v>
      </c>
      <c r="E53" s="11">
        <v>0</v>
      </c>
      <c r="F53" s="11">
        <v>0</v>
      </c>
      <c r="G53" s="11">
        <v>0</v>
      </c>
      <c r="H53" s="11">
        <v>0</v>
      </c>
      <c r="I53" s="2">
        <f t="shared" si="18"/>
        <v>1.0000000000000001E-9</v>
      </c>
      <c r="J53" s="2">
        <f t="shared" si="19"/>
        <v>1000</v>
      </c>
      <c r="K53" s="2">
        <f t="shared" si="6"/>
        <v>970</v>
      </c>
      <c r="L53" s="2">
        <f t="shared" si="7"/>
        <v>0</v>
      </c>
      <c r="M53" s="2">
        <f t="shared" si="21"/>
        <v>0</v>
      </c>
      <c r="N53" s="2">
        <f t="shared" si="22"/>
        <v>0</v>
      </c>
      <c r="O53" s="2">
        <f t="shared" si="23"/>
        <v>0</v>
      </c>
      <c r="P53" s="2">
        <f t="shared" si="24"/>
        <v>0</v>
      </c>
      <c r="Q53" s="2">
        <f t="shared" si="12"/>
        <v>0</v>
      </c>
      <c r="R53" s="2">
        <f t="shared" si="13"/>
        <v>0</v>
      </c>
      <c r="T53" s="2">
        <f t="shared" si="16"/>
        <v>48</v>
      </c>
      <c r="U53" s="2">
        <f t="shared" si="25"/>
        <v>24.91599999999999</v>
      </c>
      <c r="V53" s="2">
        <v>28.45</v>
      </c>
      <c r="W53" s="2">
        <v>5.36</v>
      </c>
      <c r="X53" s="2">
        <v>0.14000000000000001</v>
      </c>
      <c r="Y53" s="2">
        <v>0.06</v>
      </c>
      <c r="Z53" s="2">
        <v>0.15</v>
      </c>
      <c r="AA53" s="2">
        <v>10</v>
      </c>
      <c r="AC53" s="2">
        <f t="shared" si="20"/>
        <v>24.91599999999999</v>
      </c>
      <c r="AD53" s="2">
        <f>CHOOSE(Preamp_DataType,SF_PreampGain,'7227'!B52,'7227'!B52,'7227'!B52,V53,0)</f>
        <v>22.578159999999997</v>
      </c>
      <c r="AE53" s="2">
        <f>CHOOSE(Preamp_DataType,SF_PreampNF,'7227'!E52,'7227'!E52,'7227'!E52,W53,0)</f>
        <v>5</v>
      </c>
      <c r="AF53" s="2">
        <f>CHOOSE(Preamp_DataType,SF_PreampGamIn,10^('7227'!F52/20),10^('7227'!F52/20),10^('7227'!F52/20),X53,0)</f>
        <v>0.3981071705534972</v>
      </c>
      <c r="AG53" s="2">
        <f>CHOOSE(Preamp_DataType,SF_PreampGamOut,10^('7227'!G52/20),10^('7227'!G52/20),10^('7227'!G52/20),Y53,0)</f>
        <v>0.28183829312644532</v>
      </c>
      <c r="AH53" s="2">
        <f>UseReverse*CHOOSE(Preamp_DataType,PreampRevRatio,'7227'!H52,'7227'!H52,'7227'!H52,Z53,0)</f>
        <v>0</v>
      </c>
      <c r="AI53" s="2">
        <f>CHOOSE(Preamp_DataType,sf_PreampP1dB,'7227'!I52,'7227'!I52,'7227'!I52,AA53,0)</f>
        <v>5</v>
      </c>
      <c r="AJ53" s="3">
        <f>10*LOG10((NseMeas!J52/NseMeas!BW)*P1dbBWghz*1000000000)</f>
        <v>-29.067148634628452</v>
      </c>
      <c r="AK53" s="2" t="b">
        <f t="shared" si="15"/>
        <v>0</v>
      </c>
    </row>
    <row r="54" spans="1:37">
      <c r="A54" s="11">
        <v>0</v>
      </c>
      <c r="B54" s="11" t="s">
        <v>0</v>
      </c>
      <c r="C54" s="11">
        <v>0</v>
      </c>
      <c r="D54" s="11">
        <v>0</v>
      </c>
      <c r="E54" s="11">
        <v>0</v>
      </c>
      <c r="F54" s="11">
        <v>0</v>
      </c>
      <c r="G54" s="11">
        <v>0</v>
      </c>
      <c r="H54" s="11">
        <v>0</v>
      </c>
      <c r="I54" s="2">
        <f t="shared" si="18"/>
        <v>1.0000000000000001E-9</v>
      </c>
      <c r="J54" s="2">
        <f t="shared" si="19"/>
        <v>1000</v>
      </c>
      <c r="K54" s="2">
        <f t="shared" si="6"/>
        <v>970</v>
      </c>
      <c r="L54" s="2">
        <f t="shared" si="7"/>
        <v>0</v>
      </c>
      <c r="M54" s="2">
        <f t="shared" si="21"/>
        <v>0</v>
      </c>
      <c r="N54" s="2">
        <f t="shared" si="22"/>
        <v>0</v>
      </c>
      <c r="O54" s="2">
        <f t="shared" si="23"/>
        <v>0</v>
      </c>
      <c r="P54" s="2">
        <f t="shared" si="24"/>
        <v>0</v>
      </c>
      <c r="Q54" s="2">
        <f t="shared" si="12"/>
        <v>0</v>
      </c>
      <c r="R54" s="2">
        <f t="shared" si="13"/>
        <v>0</v>
      </c>
      <c r="T54" s="2">
        <f t="shared" si="16"/>
        <v>49</v>
      </c>
      <c r="U54" s="2">
        <f t="shared" si="25"/>
        <v>25.443999999999988</v>
      </c>
      <c r="V54" s="2">
        <v>28.45</v>
      </c>
      <c r="W54" s="2">
        <v>5.36</v>
      </c>
      <c r="X54" s="2">
        <v>0.14000000000000001</v>
      </c>
      <c r="Y54" s="2">
        <v>0.06</v>
      </c>
      <c r="Z54" s="2">
        <v>0.15</v>
      </c>
      <c r="AA54" s="2">
        <v>10</v>
      </c>
      <c r="AC54" s="2">
        <f t="shared" si="20"/>
        <v>25.443999999999988</v>
      </c>
      <c r="AD54" s="2">
        <f>CHOOSE(Preamp_DataType,SF_PreampGain,'7227'!B53,'7227'!B53,'7227'!B53,V54,0)</f>
        <v>22.715439999999997</v>
      </c>
      <c r="AE54" s="2">
        <f>CHOOSE(Preamp_DataType,SF_PreampNF,'7227'!E53,'7227'!E53,'7227'!E53,W54,0)</f>
        <v>5</v>
      </c>
      <c r="AF54" s="2">
        <f>CHOOSE(Preamp_DataType,SF_PreampGamIn,10^('7227'!F53/20),10^('7227'!F53/20),10^('7227'!F53/20),X54,0)</f>
        <v>0.3981071705534972</v>
      </c>
      <c r="AG54" s="2">
        <f>CHOOSE(Preamp_DataType,SF_PreampGamOut,10^('7227'!G53/20),10^('7227'!G53/20),10^('7227'!G53/20),Y54,0)</f>
        <v>0.28183829312644532</v>
      </c>
      <c r="AH54" s="2">
        <f>UseReverse*CHOOSE(Preamp_DataType,PreampRevRatio,'7227'!H53,'7227'!H53,'7227'!H53,Z54,0)</f>
        <v>0</v>
      </c>
      <c r="AI54" s="2">
        <f>CHOOSE(Preamp_DataType,sf_PreampP1dB,'7227'!I53,'7227'!I53,'7227'!I53,AA54,0)</f>
        <v>5</v>
      </c>
      <c r="AJ54" s="3">
        <f>10*LOG10((NseMeas!J53/NseMeas!BW)*P1dbBWghz*1000000000)</f>
        <v>-28.926766837080095</v>
      </c>
      <c r="AK54" s="2" t="b">
        <f t="shared" si="15"/>
        <v>0</v>
      </c>
    </row>
    <row r="55" spans="1:37">
      <c r="A55" s="11">
        <v>0</v>
      </c>
      <c r="B55" s="11" t="s">
        <v>0</v>
      </c>
      <c r="C55" s="11">
        <v>0</v>
      </c>
      <c r="D55" s="11">
        <v>0</v>
      </c>
      <c r="E55" s="11">
        <v>0</v>
      </c>
      <c r="F55" s="11">
        <v>0</v>
      </c>
      <c r="G55" s="11">
        <v>0</v>
      </c>
      <c r="H55" s="11">
        <v>0</v>
      </c>
      <c r="I55" s="2">
        <f t="shared" si="18"/>
        <v>1.0000000000000001E-9</v>
      </c>
      <c r="J55" s="2">
        <f t="shared" si="19"/>
        <v>1000</v>
      </c>
      <c r="K55" s="2">
        <f t="shared" si="6"/>
        <v>970</v>
      </c>
      <c r="L55" s="2">
        <f t="shared" si="7"/>
        <v>0</v>
      </c>
      <c r="M55" s="2">
        <f t="shared" si="21"/>
        <v>0</v>
      </c>
      <c r="N55" s="2">
        <f t="shared" si="22"/>
        <v>0</v>
      </c>
      <c r="O55" s="2">
        <f t="shared" si="23"/>
        <v>0</v>
      </c>
      <c r="P55" s="2">
        <f t="shared" si="24"/>
        <v>0</v>
      </c>
      <c r="Q55" s="2">
        <f t="shared" si="12"/>
        <v>0</v>
      </c>
      <c r="R55" s="2">
        <f t="shared" si="13"/>
        <v>0</v>
      </c>
      <c r="T55" s="2">
        <f t="shared" si="16"/>
        <v>50</v>
      </c>
      <c r="U55" s="2">
        <f t="shared" ref="U55:U70" si="26">IF($T$4&gt;=0,IF(U54&gt;=$T$5,$T$5+0.0001,U54+$T$4),IF(U54&lt;=$T$5,$T$5-0.0001,U54+$T$4))</f>
        <v>25.971999999999987</v>
      </c>
      <c r="V55" s="2">
        <v>28.45</v>
      </c>
      <c r="W55" s="2">
        <v>5.36</v>
      </c>
      <c r="X55" s="2">
        <v>0.14000000000000001</v>
      </c>
      <c r="Y55" s="2">
        <v>0.06</v>
      </c>
      <c r="Z55" s="2">
        <v>0.15</v>
      </c>
      <c r="AA55" s="2">
        <v>10</v>
      </c>
      <c r="AC55" s="2">
        <f t="shared" si="20"/>
        <v>25.971999999999987</v>
      </c>
      <c r="AD55" s="2">
        <f>CHOOSE(Preamp_DataType,SF_PreampGain,'7227'!B54,'7227'!B54,'7227'!B54,V55,0)</f>
        <v>22.852719999999998</v>
      </c>
      <c r="AE55" s="2">
        <f>CHOOSE(Preamp_DataType,SF_PreampNF,'7227'!E54,'7227'!E54,'7227'!E54,W55,0)</f>
        <v>5</v>
      </c>
      <c r="AF55" s="2">
        <f>CHOOSE(Preamp_DataType,SF_PreampGamIn,10^('7227'!F54/20),10^('7227'!F54/20),10^('7227'!F54/20),X55,0)</f>
        <v>0.3981071705534972</v>
      </c>
      <c r="AG55" s="2">
        <f>CHOOSE(Preamp_DataType,SF_PreampGamOut,10^('7227'!G54/20),10^('7227'!G54/20),10^('7227'!G54/20),Y55,0)</f>
        <v>0.28183829312644532</v>
      </c>
      <c r="AH55" s="2">
        <f>UseReverse*CHOOSE(Preamp_DataType,PreampRevRatio,'7227'!H54,'7227'!H54,'7227'!H54,Z55,0)</f>
        <v>0</v>
      </c>
      <c r="AI55" s="2">
        <f>CHOOSE(Preamp_DataType,sf_PreampP1dB,'7227'!I54,'7227'!I54,'7227'!I54,AA55,0)</f>
        <v>5</v>
      </c>
      <c r="AJ55" s="3">
        <f>10*LOG10((NseMeas!J54/NseMeas!BW)*P1dbBWghz*1000000000)</f>
        <v>-28.789685357241289</v>
      </c>
      <c r="AK55" s="2" t="b">
        <f t="shared" si="15"/>
        <v>0</v>
      </c>
    </row>
    <row r="56" spans="1:37">
      <c r="A56" s="11">
        <v>0</v>
      </c>
      <c r="B56" s="11" t="s">
        <v>0</v>
      </c>
      <c r="C56" s="11">
        <v>0</v>
      </c>
      <c r="D56" s="11">
        <v>0</v>
      </c>
      <c r="E56" s="11">
        <v>0</v>
      </c>
      <c r="F56" s="11">
        <v>0</v>
      </c>
      <c r="G56" s="11">
        <v>0</v>
      </c>
      <c r="H56" s="11">
        <v>0</v>
      </c>
      <c r="I56" s="2">
        <f t="shared" si="18"/>
        <v>1.0000000000000001E-9</v>
      </c>
      <c r="J56" s="2">
        <f t="shared" si="19"/>
        <v>1000</v>
      </c>
      <c r="K56" s="2">
        <f t="shared" si="6"/>
        <v>970</v>
      </c>
      <c r="L56" s="2">
        <f t="shared" si="7"/>
        <v>0</v>
      </c>
      <c r="M56" s="2">
        <f t="shared" si="21"/>
        <v>0</v>
      </c>
      <c r="N56" s="2">
        <f t="shared" si="22"/>
        <v>0</v>
      </c>
      <c r="O56" s="2">
        <f t="shared" si="23"/>
        <v>0</v>
      </c>
      <c r="P56" s="2">
        <f t="shared" si="24"/>
        <v>0</v>
      </c>
      <c r="Q56" s="2">
        <f t="shared" si="12"/>
        <v>0</v>
      </c>
      <c r="R56" s="2">
        <f t="shared" si="13"/>
        <v>0</v>
      </c>
      <c r="T56" s="2">
        <f t="shared" si="16"/>
        <v>51</v>
      </c>
      <c r="U56" s="2">
        <f t="shared" si="26"/>
        <v>26.499999999999986</v>
      </c>
      <c r="V56" s="2">
        <v>28.45</v>
      </c>
      <c r="W56" s="2">
        <v>5.36</v>
      </c>
      <c r="X56" s="2">
        <v>0.14000000000000001</v>
      </c>
      <c r="Y56" s="2">
        <v>0.06</v>
      </c>
      <c r="Z56" s="2">
        <v>0.15</v>
      </c>
      <c r="AA56" s="2">
        <v>10</v>
      </c>
      <c r="AC56" s="2">
        <f t="shared" si="20"/>
        <v>26.499999999999986</v>
      </c>
      <c r="AD56" s="2">
        <f>CHOOSE(Preamp_DataType,SF_PreampGain,'7227'!B55,'7227'!B55,'7227'!B55,V56,0)</f>
        <v>22.99</v>
      </c>
      <c r="AE56" s="2">
        <f>CHOOSE(Preamp_DataType,SF_PreampNF,'7227'!E55,'7227'!E55,'7227'!E55,W56,0)</f>
        <v>5</v>
      </c>
      <c r="AF56" s="2">
        <f>CHOOSE(Preamp_DataType,SF_PreampGamIn,10^('7227'!F55/20),10^('7227'!F55/20),10^('7227'!F55/20),X56,0)</f>
        <v>0.3981071705534972</v>
      </c>
      <c r="AG56" s="2">
        <f>CHOOSE(Preamp_DataType,SF_PreampGamOut,10^('7227'!G55/20),10^('7227'!G55/20),10^('7227'!G55/20),Y56,0)</f>
        <v>0.28183829312644532</v>
      </c>
      <c r="AH56" s="2">
        <f>UseReverse*CHOOSE(Preamp_DataType,PreampRevRatio,'7227'!H55,'7227'!H55,'7227'!H55,Z56,0)</f>
        <v>0</v>
      </c>
      <c r="AI56" s="2">
        <f>CHOOSE(Preamp_DataType,sf_PreampP1dB,'7227'!I55,'7227'!I55,'7227'!I55,AA56,0)</f>
        <v>5</v>
      </c>
      <c r="AJ56" s="3">
        <f>10*LOG10((NseMeas!J55/NseMeas!BW)*P1dbBWghz*1000000000)</f>
        <v>-28.652597709000567</v>
      </c>
      <c r="AK56" s="2" t="b">
        <f t="shared" si="15"/>
        <v>0</v>
      </c>
    </row>
    <row r="57" spans="1:37">
      <c r="A57" s="11">
        <v>0</v>
      </c>
      <c r="B57" s="11" t="s">
        <v>0</v>
      </c>
      <c r="C57" s="11">
        <v>0</v>
      </c>
      <c r="D57" s="11">
        <v>0</v>
      </c>
      <c r="E57" s="11">
        <v>0</v>
      </c>
      <c r="F57" s="11">
        <v>0</v>
      </c>
      <c r="G57" s="11">
        <v>0</v>
      </c>
      <c r="H57" s="11">
        <v>0</v>
      </c>
      <c r="I57" s="2">
        <f t="shared" si="18"/>
        <v>1.0000000000000001E-9</v>
      </c>
      <c r="J57" s="2">
        <f t="shared" si="19"/>
        <v>1000</v>
      </c>
      <c r="K57" s="2">
        <f t="shared" si="6"/>
        <v>970</v>
      </c>
      <c r="L57" s="2">
        <f t="shared" si="7"/>
        <v>0</v>
      </c>
      <c r="M57" s="2">
        <f t="shared" si="21"/>
        <v>0</v>
      </c>
      <c r="N57" s="2">
        <f t="shared" si="22"/>
        <v>0</v>
      </c>
      <c r="O57" s="2">
        <f t="shared" si="23"/>
        <v>0</v>
      </c>
      <c r="P57" s="2">
        <f t="shared" si="24"/>
        <v>0</v>
      </c>
      <c r="Q57" s="2">
        <f t="shared" si="12"/>
        <v>0</v>
      </c>
      <c r="R57" s="2">
        <f t="shared" si="13"/>
        <v>0</v>
      </c>
      <c r="T57" s="2">
        <f t="shared" si="16"/>
        <v>52</v>
      </c>
      <c r="U57" s="2">
        <f t="shared" si="26"/>
        <v>26.5001</v>
      </c>
      <c r="V57" s="2">
        <v>28.45</v>
      </c>
      <c r="W57" s="2">
        <v>5.36</v>
      </c>
      <c r="X57" s="2">
        <v>0.14000000000000001</v>
      </c>
      <c r="Y57" s="2">
        <v>0.06</v>
      </c>
      <c r="Z57" s="2">
        <v>0.15</v>
      </c>
      <c r="AA57" s="2">
        <v>10</v>
      </c>
      <c r="AC57" s="2">
        <f t="shared" si="20"/>
        <v>26.5001</v>
      </c>
      <c r="AD57" s="2">
        <f>CHOOSE(Preamp_DataType,SF_PreampGain,'7227'!B56,'7227'!B56,'7227'!B56,V57,0)</f>
        <v>22.990000260000002</v>
      </c>
      <c r="AE57" s="2">
        <f>CHOOSE(Preamp_DataType,SF_PreampNF,'7227'!E56,'7227'!E56,'7227'!E56,W57,0)</f>
        <v>5</v>
      </c>
      <c r="AF57" s="2">
        <f>CHOOSE(Preamp_DataType,SF_PreampGamIn,10^('7227'!F56/20),10^('7227'!F56/20),10^('7227'!F56/20),X57,0)</f>
        <v>0.3981071705534972</v>
      </c>
      <c r="AG57" s="2">
        <f>CHOOSE(Preamp_DataType,SF_PreampGamOut,10^('7227'!G56/20),10^('7227'!G56/20),10^('7227'!G56/20),Y57,0)</f>
        <v>0.28183829312644532</v>
      </c>
      <c r="AH57" s="2">
        <f>UseReverse*CHOOSE(Preamp_DataType,PreampRevRatio,'7227'!H56,'7227'!H56,'7227'!H56,Z57,0)</f>
        <v>0</v>
      </c>
      <c r="AI57" s="2">
        <f>CHOOSE(Preamp_DataType,sf_PreampP1dB,'7227'!I56,'7227'!I56,'7227'!I56,AA57,0)</f>
        <v>5</v>
      </c>
      <c r="AJ57" s="3">
        <f>10*LOG10((NseMeas!J56/NseMeas!BW)*P1dbBWghz*1000000000)</f>
        <v>-28.652597449359142</v>
      </c>
      <c r="AK57" s="2" t="b">
        <f t="shared" si="15"/>
        <v>0</v>
      </c>
    </row>
    <row r="58" spans="1:37">
      <c r="A58" s="11">
        <v>0</v>
      </c>
      <c r="B58" s="11" t="s">
        <v>0</v>
      </c>
      <c r="C58" s="11">
        <v>0</v>
      </c>
      <c r="D58" s="11">
        <v>0</v>
      </c>
      <c r="E58" s="11">
        <v>0</v>
      </c>
      <c r="F58" s="11">
        <v>0</v>
      </c>
      <c r="G58" s="11">
        <v>0</v>
      </c>
      <c r="H58" s="11">
        <v>0</v>
      </c>
      <c r="I58" s="2">
        <f t="shared" si="18"/>
        <v>1.0000000000000001E-9</v>
      </c>
      <c r="J58" s="2">
        <f t="shared" si="19"/>
        <v>1000</v>
      </c>
      <c r="K58" s="2">
        <f t="shared" si="6"/>
        <v>970</v>
      </c>
      <c r="L58" s="2">
        <f t="shared" si="7"/>
        <v>0</v>
      </c>
      <c r="M58" s="2">
        <f t="shared" si="21"/>
        <v>0</v>
      </c>
      <c r="N58" s="2">
        <f t="shared" si="22"/>
        <v>0</v>
      </c>
      <c r="O58" s="2">
        <f t="shared" si="23"/>
        <v>0</v>
      </c>
      <c r="P58" s="2">
        <f t="shared" si="24"/>
        <v>0</v>
      </c>
      <c r="Q58" s="2">
        <f t="shared" si="12"/>
        <v>0</v>
      </c>
      <c r="R58" s="2">
        <f t="shared" si="13"/>
        <v>0</v>
      </c>
      <c r="T58" s="2">
        <f t="shared" si="16"/>
        <v>53</v>
      </c>
      <c r="U58" s="2">
        <f t="shared" si="26"/>
        <v>26.5001</v>
      </c>
      <c r="V58" s="2">
        <v>28.45</v>
      </c>
      <c r="W58" s="2">
        <v>5.36</v>
      </c>
      <c r="X58" s="2">
        <v>0.14000000000000001</v>
      </c>
      <c r="Y58" s="2">
        <v>0.06</v>
      </c>
      <c r="Z58" s="2">
        <v>0.15</v>
      </c>
      <c r="AA58" s="2">
        <v>10</v>
      </c>
      <c r="AC58" s="2">
        <f t="shared" si="20"/>
        <v>26.5001</v>
      </c>
      <c r="AD58" s="2">
        <f>CHOOSE(Preamp_DataType,SF_PreampGain,'7227'!B57,'7227'!B57,'7227'!B57,V58,0)</f>
        <v>22.990000260000002</v>
      </c>
      <c r="AE58" s="2">
        <f>CHOOSE(Preamp_DataType,SF_PreampNF,'7227'!E57,'7227'!E57,'7227'!E57,W58,0)</f>
        <v>5</v>
      </c>
      <c r="AF58" s="2">
        <f>CHOOSE(Preamp_DataType,SF_PreampGamIn,10^('7227'!F57/20),10^('7227'!F57/20),10^('7227'!F57/20),X58,0)</f>
        <v>0.3981071705534972</v>
      </c>
      <c r="AG58" s="2">
        <f>CHOOSE(Preamp_DataType,SF_PreampGamOut,10^('7227'!G57/20),10^('7227'!G57/20),10^('7227'!G57/20),Y58,0)</f>
        <v>0.28183829312644532</v>
      </c>
      <c r="AH58" s="2">
        <f>UseReverse*CHOOSE(Preamp_DataType,PreampRevRatio,'7227'!H57,'7227'!H57,'7227'!H57,Z58,0)</f>
        <v>0</v>
      </c>
      <c r="AI58" s="2">
        <f>CHOOSE(Preamp_DataType,sf_PreampP1dB,'7227'!I57,'7227'!I57,'7227'!I57,AA58,0)</f>
        <v>5</v>
      </c>
      <c r="AJ58" s="3">
        <f>10*LOG10((NseMeas!J57/NseMeas!BW)*P1dbBWghz*1000000000)</f>
        <v>-28.652597449359142</v>
      </c>
      <c r="AK58" s="2" t="b">
        <f t="shared" si="15"/>
        <v>0</v>
      </c>
    </row>
    <row r="59" spans="1:37">
      <c r="A59" s="11">
        <v>0</v>
      </c>
      <c r="B59" s="11" t="s">
        <v>0</v>
      </c>
      <c r="C59" s="11">
        <v>0</v>
      </c>
      <c r="D59" s="11">
        <v>0</v>
      </c>
      <c r="E59" s="11">
        <v>0</v>
      </c>
      <c r="F59" s="11">
        <v>0</v>
      </c>
      <c r="G59" s="11">
        <v>0</v>
      </c>
      <c r="H59" s="11">
        <v>0</v>
      </c>
      <c r="I59" s="2">
        <f t="shared" si="18"/>
        <v>1.0000000000000001E-9</v>
      </c>
      <c r="J59" s="2">
        <f t="shared" si="19"/>
        <v>1000</v>
      </c>
      <c r="K59" s="2">
        <f t="shared" si="6"/>
        <v>970</v>
      </c>
      <c r="L59" s="2">
        <f t="shared" si="7"/>
        <v>0</v>
      </c>
      <c r="M59" s="2">
        <f t="shared" si="21"/>
        <v>0</v>
      </c>
      <c r="N59" s="2">
        <f t="shared" si="22"/>
        <v>0</v>
      </c>
      <c r="O59" s="2">
        <f t="shared" si="23"/>
        <v>0</v>
      </c>
      <c r="P59" s="2">
        <f t="shared" si="24"/>
        <v>0</v>
      </c>
      <c r="Q59" s="2">
        <f t="shared" si="12"/>
        <v>0</v>
      </c>
      <c r="R59" s="2">
        <f t="shared" si="13"/>
        <v>0</v>
      </c>
      <c r="T59" s="2">
        <f t="shared" si="16"/>
        <v>54</v>
      </c>
      <c r="U59" s="2">
        <f t="shared" si="26"/>
        <v>26.5001</v>
      </c>
      <c r="V59" s="2">
        <v>28.45</v>
      </c>
      <c r="W59" s="2">
        <v>5.36</v>
      </c>
      <c r="X59" s="2">
        <v>0.14000000000000001</v>
      </c>
      <c r="Y59" s="2">
        <v>0.06</v>
      </c>
      <c r="Z59" s="2">
        <v>0.15</v>
      </c>
      <c r="AA59" s="2">
        <v>10</v>
      </c>
      <c r="AC59" s="2">
        <f t="shared" si="20"/>
        <v>26.5001</v>
      </c>
      <c r="AD59" s="2">
        <f>CHOOSE(Preamp_DataType,SF_PreampGain,'7227'!B58,'7227'!B58,'7227'!B58,V59,0)</f>
        <v>22.990000260000002</v>
      </c>
      <c r="AE59" s="2">
        <f>CHOOSE(Preamp_DataType,SF_PreampNF,'7227'!E58,'7227'!E58,'7227'!E58,W59,0)</f>
        <v>5</v>
      </c>
      <c r="AF59" s="2">
        <f>CHOOSE(Preamp_DataType,SF_PreampGamIn,10^('7227'!F58/20),10^('7227'!F58/20),10^('7227'!F58/20),X59,0)</f>
        <v>0.3981071705534972</v>
      </c>
      <c r="AG59" s="2">
        <f>CHOOSE(Preamp_DataType,SF_PreampGamOut,10^('7227'!G58/20),10^('7227'!G58/20),10^('7227'!G58/20),Y59,0)</f>
        <v>0.28183829312644532</v>
      </c>
      <c r="AH59" s="2">
        <f>UseReverse*CHOOSE(Preamp_DataType,PreampRevRatio,'7227'!H58,'7227'!H58,'7227'!H58,Z59,0)</f>
        <v>0</v>
      </c>
      <c r="AI59" s="2">
        <f>CHOOSE(Preamp_DataType,sf_PreampP1dB,'7227'!I58,'7227'!I58,'7227'!I58,AA59,0)</f>
        <v>5</v>
      </c>
      <c r="AJ59" s="3">
        <f>10*LOG10((NseMeas!J58/NseMeas!BW)*P1dbBWghz*1000000000)</f>
        <v>-28.652597449359142</v>
      </c>
      <c r="AK59" s="2" t="b">
        <f t="shared" si="15"/>
        <v>0</v>
      </c>
    </row>
    <row r="60" spans="1:37">
      <c r="A60" s="11">
        <v>0</v>
      </c>
      <c r="B60" s="11" t="s">
        <v>0</v>
      </c>
      <c r="C60" s="11">
        <v>0</v>
      </c>
      <c r="D60" s="11">
        <v>0</v>
      </c>
      <c r="E60" s="11">
        <v>0</v>
      </c>
      <c r="F60" s="11">
        <v>0</v>
      </c>
      <c r="G60" s="11">
        <v>0</v>
      </c>
      <c r="H60" s="11">
        <v>0</v>
      </c>
      <c r="I60" s="2">
        <f t="shared" si="18"/>
        <v>1.0000000000000001E-9</v>
      </c>
      <c r="J60" s="2">
        <f t="shared" si="19"/>
        <v>1000</v>
      </c>
      <c r="K60" s="2">
        <f t="shared" si="6"/>
        <v>970</v>
      </c>
      <c r="L60" s="2">
        <f t="shared" si="7"/>
        <v>0</v>
      </c>
      <c r="Q60" s="2">
        <f t="shared" si="12"/>
        <v>0</v>
      </c>
      <c r="R60" s="2">
        <f t="shared" si="13"/>
        <v>0</v>
      </c>
      <c r="T60" s="2">
        <f t="shared" si="16"/>
        <v>55</v>
      </c>
      <c r="U60" s="2">
        <f t="shared" si="26"/>
        <v>26.5001</v>
      </c>
      <c r="V60" s="2">
        <v>28.45</v>
      </c>
      <c r="W60" s="2">
        <v>5.36</v>
      </c>
      <c r="X60" s="2">
        <v>0.14000000000000001</v>
      </c>
      <c r="Y60" s="2">
        <v>0.06</v>
      </c>
      <c r="Z60" s="2">
        <v>0.15</v>
      </c>
      <c r="AA60" s="2">
        <v>10</v>
      </c>
      <c r="AC60" s="2">
        <f t="shared" si="20"/>
        <v>26.5001</v>
      </c>
      <c r="AD60" s="2">
        <f>CHOOSE(Preamp_DataType,SF_PreampGain,'7227'!B59,'7227'!B59,'7227'!B59,V60,0)</f>
        <v>22.990000260000002</v>
      </c>
      <c r="AE60" s="2">
        <f>CHOOSE(Preamp_DataType,SF_PreampNF,'7227'!E59,'7227'!E59,'7227'!E59,W60,0)</f>
        <v>5</v>
      </c>
      <c r="AF60" s="2">
        <f>CHOOSE(Preamp_DataType,SF_PreampGamIn,10^('7227'!F59/20),10^('7227'!F59/20),10^('7227'!F59/20),X60,0)</f>
        <v>0.3981071705534972</v>
      </c>
      <c r="AG60" s="2">
        <f>CHOOSE(Preamp_DataType,SF_PreampGamOut,10^('7227'!G59/20),10^('7227'!G59/20),10^('7227'!G59/20),Y60,0)</f>
        <v>0.28183829312644532</v>
      </c>
      <c r="AH60" s="2">
        <f>UseReverse*CHOOSE(Preamp_DataType,PreampRevRatio,'7227'!H59,'7227'!H59,'7227'!H59,Z60,0)</f>
        <v>0</v>
      </c>
      <c r="AI60" s="2">
        <f>CHOOSE(Preamp_DataType,sf_PreampP1dB,'7227'!I59,'7227'!I59,'7227'!I59,AA60,0)</f>
        <v>5</v>
      </c>
      <c r="AJ60" s="3">
        <f>10*LOG10((NseMeas!J59/NseMeas!BW)*P1dbBWghz*1000000000)</f>
        <v>-28.652597449359142</v>
      </c>
      <c r="AK60" s="2" t="b">
        <f t="shared" si="15"/>
        <v>0</v>
      </c>
    </row>
    <row r="61" spans="1:37">
      <c r="A61" s="11">
        <v>0</v>
      </c>
      <c r="B61" s="11" t="s">
        <v>0</v>
      </c>
      <c r="C61" s="11">
        <v>0</v>
      </c>
      <c r="D61" s="11">
        <v>0</v>
      </c>
      <c r="E61" s="11">
        <v>0</v>
      </c>
      <c r="F61" s="11">
        <v>0</v>
      </c>
      <c r="G61" s="11">
        <v>0</v>
      </c>
      <c r="H61" s="11">
        <v>0</v>
      </c>
      <c r="I61" s="2">
        <f t="shared" si="18"/>
        <v>1.0000000000000001E-9</v>
      </c>
      <c r="J61" s="2">
        <f t="shared" si="19"/>
        <v>1000</v>
      </c>
      <c r="K61" s="2">
        <f t="shared" si="6"/>
        <v>970</v>
      </c>
      <c r="L61" s="2">
        <f t="shared" si="7"/>
        <v>0</v>
      </c>
      <c r="Q61" s="2">
        <f t="shared" si="12"/>
        <v>0</v>
      </c>
      <c r="R61" s="2">
        <f t="shared" si="13"/>
        <v>0</v>
      </c>
      <c r="T61" s="2">
        <f t="shared" si="16"/>
        <v>56</v>
      </c>
      <c r="U61" s="2">
        <f t="shared" si="26"/>
        <v>26.5001</v>
      </c>
      <c r="V61" s="2">
        <v>28.45</v>
      </c>
      <c r="W61" s="2">
        <v>5.36</v>
      </c>
      <c r="X61" s="2">
        <v>0.14000000000000001</v>
      </c>
      <c r="Y61" s="2">
        <v>0.06</v>
      </c>
      <c r="Z61" s="2">
        <v>0.15</v>
      </c>
      <c r="AA61" s="2">
        <v>10</v>
      </c>
      <c r="AC61" s="2">
        <f t="shared" si="20"/>
        <v>26.5001</v>
      </c>
      <c r="AD61" s="2">
        <f>CHOOSE(Preamp_DataType,SF_PreampGain,'7227'!B60,'7227'!B60,'7227'!B60,V61,0)</f>
        <v>22.990000260000002</v>
      </c>
      <c r="AE61" s="2">
        <f>CHOOSE(Preamp_DataType,SF_PreampNF,'7227'!E60,'7227'!E60,'7227'!E60,W61,0)</f>
        <v>5</v>
      </c>
      <c r="AF61" s="2">
        <f>CHOOSE(Preamp_DataType,SF_PreampGamIn,10^('7227'!F60/20),10^('7227'!F60/20),10^('7227'!F60/20),X61,0)</f>
        <v>0.3981071705534972</v>
      </c>
      <c r="AG61" s="2">
        <f>CHOOSE(Preamp_DataType,SF_PreampGamOut,10^('7227'!G60/20),10^('7227'!G60/20),10^('7227'!G60/20),Y61,0)</f>
        <v>0.28183829312644532</v>
      </c>
      <c r="AH61" s="2">
        <f>UseReverse*CHOOSE(Preamp_DataType,PreampRevRatio,'7227'!H60,'7227'!H60,'7227'!H60,Z61,0)</f>
        <v>0</v>
      </c>
      <c r="AI61" s="2">
        <f>CHOOSE(Preamp_DataType,sf_PreampP1dB,'7227'!I60,'7227'!I60,'7227'!I60,AA61,0)</f>
        <v>5</v>
      </c>
      <c r="AJ61" s="3">
        <f>10*LOG10((NseMeas!J60/NseMeas!BW)*P1dbBWghz*1000000000)</f>
        <v>-28.652597449359142</v>
      </c>
      <c r="AK61" s="2" t="b">
        <f t="shared" si="15"/>
        <v>0</v>
      </c>
    </row>
    <row r="62" spans="1:37">
      <c r="A62" s="11">
        <v>0</v>
      </c>
      <c r="B62" s="11" t="s">
        <v>0</v>
      </c>
      <c r="C62" s="11">
        <v>0</v>
      </c>
      <c r="D62" s="11">
        <v>0</v>
      </c>
      <c r="E62" s="11">
        <v>0</v>
      </c>
      <c r="F62" s="11">
        <v>0</v>
      </c>
      <c r="G62" s="11">
        <v>0</v>
      </c>
      <c r="H62" s="11">
        <v>0</v>
      </c>
      <c r="I62" s="2">
        <f t="shared" si="18"/>
        <v>1.0000000000000001E-9</v>
      </c>
      <c r="J62" s="2">
        <f t="shared" si="19"/>
        <v>1000</v>
      </c>
      <c r="K62" s="2">
        <f t="shared" si="6"/>
        <v>970</v>
      </c>
      <c r="L62" s="2">
        <f t="shared" si="7"/>
        <v>0</v>
      </c>
      <c r="Q62" s="2">
        <f t="shared" si="12"/>
        <v>0</v>
      </c>
      <c r="R62" s="2">
        <f t="shared" si="13"/>
        <v>0</v>
      </c>
      <c r="T62" s="2">
        <f t="shared" si="16"/>
        <v>57</v>
      </c>
      <c r="U62" s="2">
        <f t="shared" si="26"/>
        <v>26.5001</v>
      </c>
      <c r="V62" s="2">
        <v>28.45</v>
      </c>
      <c r="W62" s="2">
        <v>5.36</v>
      </c>
      <c r="X62" s="2">
        <v>0.14000000000000001</v>
      </c>
      <c r="Y62" s="2">
        <v>0.06</v>
      </c>
      <c r="Z62" s="2">
        <v>0.15</v>
      </c>
      <c r="AA62" s="2">
        <v>10</v>
      </c>
      <c r="AC62" s="2">
        <f t="shared" si="20"/>
        <v>26.5001</v>
      </c>
      <c r="AD62" s="2">
        <f>CHOOSE(Preamp_DataType,SF_PreampGain,'7227'!B61,'7227'!B61,'7227'!B61,V62,0)</f>
        <v>22.990000260000002</v>
      </c>
      <c r="AE62" s="2">
        <f>CHOOSE(Preamp_DataType,SF_PreampNF,'7227'!E61,'7227'!E61,'7227'!E61,W62,0)</f>
        <v>5</v>
      </c>
      <c r="AF62" s="2">
        <f>CHOOSE(Preamp_DataType,SF_PreampGamIn,10^('7227'!F61/20),10^('7227'!F61/20),10^('7227'!F61/20),X62,0)</f>
        <v>0.3981071705534972</v>
      </c>
      <c r="AG62" s="2">
        <f>CHOOSE(Preamp_DataType,SF_PreampGamOut,10^('7227'!G61/20),10^('7227'!G61/20),10^('7227'!G61/20),Y62,0)</f>
        <v>0.28183829312644532</v>
      </c>
      <c r="AH62" s="2">
        <f>UseReverse*CHOOSE(Preamp_DataType,PreampRevRatio,'7227'!H61,'7227'!H61,'7227'!H61,Z62,0)</f>
        <v>0</v>
      </c>
      <c r="AI62" s="2">
        <f>CHOOSE(Preamp_DataType,sf_PreampP1dB,'7227'!I61,'7227'!I61,'7227'!I61,AA62,0)</f>
        <v>5</v>
      </c>
      <c r="AJ62" s="3">
        <f>10*LOG10((NseMeas!J61/NseMeas!BW)*P1dbBWghz*1000000000)</f>
        <v>-28.652597449359142</v>
      </c>
      <c r="AK62" s="2" t="b">
        <f t="shared" si="15"/>
        <v>0</v>
      </c>
    </row>
    <row r="63" spans="1:37">
      <c r="A63" s="11">
        <v>0</v>
      </c>
      <c r="B63" s="11" t="s">
        <v>0</v>
      </c>
      <c r="C63" s="11">
        <v>0</v>
      </c>
      <c r="D63" s="11">
        <v>0</v>
      </c>
      <c r="E63" s="11">
        <v>0</v>
      </c>
      <c r="F63" s="11">
        <v>0</v>
      </c>
      <c r="G63" s="11">
        <v>0</v>
      </c>
      <c r="H63" s="11">
        <v>0</v>
      </c>
      <c r="I63" s="2">
        <f t="shared" si="18"/>
        <v>1.0000000000000001E-9</v>
      </c>
      <c r="J63" s="2">
        <f t="shared" si="19"/>
        <v>1000</v>
      </c>
      <c r="K63" s="2">
        <f t="shared" si="6"/>
        <v>970</v>
      </c>
      <c r="L63" s="2">
        <f t="shared" si="7"/>
        <v>0</v>
      </c>
      <c r="Q63" s="2">
        <f t="shared" si="12"/>
        <v>0</v>
      </c>
      <c r="R63" s="2">
        <f t="shared" si="13"/>
        <v>0</v>
      </c>
      <c r="T63" s="2">
        <f t="shared" si="16"/>
        <v>58</v>
      </c>
      <c r="U63" s="2">
        <f t="shared" si="26"/>
        <v>26.5001</v>
      </c>
      <c r="V63" s="2">
        <v>28.45</v>
      </c>
      <c r="W63" s="2">
        <v>5.36</v>
      </c>
      <c r="X63" s="2">
        <v>0.14000000000000001</v>
      </c>
      <c r="Y63" s="2">
        <v>0.06</v>
      </c>
      <c r="Z63" s="2">
        <v>0.15</v>
      </c>
      <c r="AA63" s="2">
        <v>10</v>
      </c>
      <c r="AC63" s="2">
        <f t="shared" si="20"/>
        <v>26.5001</v>
      </c>
      <c r="AD63" s="2">
        <f>CHOOSE(Preamp_DataType,SF_PreampGain,'7227'!B62,'7227'!B62,'7227'!B62,V63,0)</f>
        <v>22.990000260000002</v>
      </c>
      <c r="AE63" s="2">
        <f>CHOOSE(Preamp_DataType,SF_PreampNF,'7227'!E62,'7227'!E62,'7227'!E62,W63,0)</f>
        <v>5</v>
      </c>
      <c r="AF63" s="2">
        <f>CHOOSE(Preamp_DataType,SF_PreampGamIn,10^('7227'!F62/20),10^('7227'!F62/20),10^('7227'!F62/20),X63,0)</f>
        <v>0.3981071705534972</v>
      </c>
      <c r="AG63" s="2">
        <f>CHOOSE(Preamp_DataType,SF_PreampGamOut,10^('7227'!G62/20),10^('7227'!G62/20),10^('7227'!G62/20),Y63,0)</f>
        <v>0.28183829312644532</v>
      </c>
      <c r="AH63" s="2">
        <f>UseReverse*CHOOSE(Preamp_DataType,PreampRevRatio,'7227'!H62,'7227'!H62,'7227'!H62,Z63,0)</f>
        <v>0</v>
      </c>
      <c r="AI63" s="2">
        <f>CHOOSE(Preamp_DataType,sf_PreampP1dB,'7227'!I62,'7227'!I62,'7227'!I62,AA63,0)</f>
        <v>5</v>
      </c>
      <c r="AJ63" s="3">
        <f>10*LOG10((NseMeas!J62/NseMeas!BW)*P1dbBWghz*1000000000)</f>
        <v>-28.652597449359142</v>
      </c>
      <c r="AK63" s="2" t="b">
        <f t="shared" si="15"/>
        <v>0</v>
      </c>
    </row>
    <row r="64" spans="1:37">
      <c r="A64" s="11">
        <v>0</v>
      </c>
      <c r="B64" s="11" t="s">
        <v>0</v>
      </c>
      <c r="C64" s="11">
        <v>0</v>
      </c>
      <c r="D64" s="11">
        <v>0</v>
      </c>
      <c r="E64" s="11">
        <v>0</v>
      </c>
      <c r="F64" s="11">
        <v>0</v>
      </c>
      <c r="G64" s="11">
        <v>0</v>
      </c>
      <c r="H64" s="11">
        <v>0</v>
      </c>
      <c r="I64" s="2">
        <f t="shared" si="18"/>
        <v>1.0000000000000001E-9</v>
      </c>
      <c r="J64" s="2">
        <f t="shared" si="19"/>
        <v>1000</v>
      </c>
      <c r="K64" s="2">
        <f t="shared" si="6"/>
        <v>970</v>
      </c>
      <c r="L64" s="2">
        <f t="shared" si="7"/>
        <v>0</v>
      </c>
      <c r="Q64" s="2">
        <f t="shared" si="12"/>
        <v>0</v>
      </c>
      <c r="R64" s="2">
        <f t="shared" si="13"/>
        <v>0</v>
      </c>
      <c r="T64" s="2">
        <f t="shared" si="16"/>
        <v>59</v>
      </c>
      <c r="U64" s="2">
        <f t="shared" si="26"/>
        <v>26.5001</v>
      </c>
      <c r="V64" s="2">
        <v>28.45</v>
      </c>
      <c r="W64" s="2">
        <v>5.36</v>
      </c>
      <c r="X64" s="2">
        <v>0.14000000000000001</v>
      </c>
      <c r="Y64" s="2">
        <v>0.06</v>
      </c>
      <c r="Z64" s="2">
        <v>0.15</v>
      </c>
      <c r="AA64" s="2">
        <v>10</v>
      </c>
      <c r="AC64" s="2">
        <f t="shared" si="20"/>
        <v>26.5001</v>
      </c>
      <c r="AD64" s="2">
        <f>CHOOSE(Preamp_DataType,SF_PreampGain,'7227'!B63,'7227'!B63,'7227'!B63,V64,0)</f>
        <v>22.990000260000002</v>
      </c>
      <c r="AE64" s="2">
        <f>CHOOSE(Preamp_DataType,SF_PreampNF,'7227'!E63,'7227'!E63,'7227'!E63,W64,0)</f>
        <v>5</v>
      </c>
      <c r="AF64" s="2">
        <f>CHOOSE(Preamp_DataType,SF_PreampGamIn,10^('7227'!F63/20),10^('7227'!F63/20),10^('7227'!F63/20),X64,0)</f>
        <v>0.3981071705534972</v>
      </c>
      <c r="AG64" s="2">
        <f>CHOOSE(Preamp_DataType,SF_PreampGamOut,10^('7227'!G63/20),10^('7227'!G63/20),10^('7227'!G63/20),Y64,0)</f>
        <v>0.28183829312644532</v>
      </c>
      <c r="AH64" s="2">
        <f>UseReverse*CHOOSE(Preamp_DataType,PreampRevRatio,'7227'!H63,'7227'!H63,'7227'!H63,Z64,0)</f>
        <v>0</v>
      </c>
      <c r="AI64" s="2">
        <f>CHOOSE(Preamp_DataType,sf_PreampP1dB,'7227'!I63,'7227'!I63,'7227'!I63,AA64,0)</f>
        <v>5</v>
      </c>
      <c r="AJ64" s="3">
        <f>10*LOG10((NseMeas!J63/NseMeas!BW)*P1dbBWghz*1000000000)</f>
        <v>-28.652597449359142</v>
      </c>
      <c r="AK64" s="2" t="b">
        <f t="shared" si="15"/>
        <v>0</v>
      </c>
    </row>
    <row r="65" spans="1:37">
      <c r="A65" s="11">
        <v>0</v>
      </c>
      <c r="B65" s="11" t="s">
        <v>0</v>
      </c>
      <c r="C65" s="11">
        <v>0</v>
      </c>
      <c r="D65" s="11">
        <v>0</v>
      </c>
      <c r="E65" s="11">
        <v>0</v>
      </c>
      <c r="F65" s="11">
        <v>0</v>
      </c>
      <c r="G65" s="11">
        <v>0</v>
      </c>
      <c r="H65" s="11">
        <v>0</v>
      </c>
      <c r="I65" s="2">
        <f t="shared" si="18"/>
        <v>1.0000000000000001E-9</v>
      </c>
      <c r="J65" s="2">
        <f t="shared" si="19"/>
        <v>1000</v>
      </c>
      <c r="K65" s="2">
        <f t="shared" si="6"/>
        <v>970</v>
      </c>
      <c r="L65" s="2">
        <f t="shared" si="7"/>
        <v>0</v>
      </c>
      <c r="Q65" s="2">
        <f t="shared" si="12"/>
        <v>0</v>
      </c>
      <c r="R65" s="2">
        <f t="shared" si="13"/>
        <v>0</v>
      </c>
      <c r="T65" s="2">
        <f t="shared" si="16"/>
        <v>60</v>
      </c>
      <c r="U65" s="2">
        <f t="shared" si="26"/>
        <v>26.5001</v>
      </c>
      <c r="V65" s="2">
        <v>28.45</v>
      </c>
      <c r="W65" s="2">
        <v>5.36</v>
      </c>
      <c r="X65" s="2">
        <v>0.14000000000000001</v>
      </c>
      <c r="Y65" s="2">
        <v>0.06</v>
      </c>
      <c r="Z65" s="2">
        <v>0.15</v>
      </c>
      <c r="AA65" s="2">
        <v>10</v>
      </c>
      <c r="AC65" s="2">
        <f t="shared" si="20"/>
        <v>26.5001</v>
      </c>
      <c r="AD65" s="2">
        <f>CHOOSE(Preamp_DataType,SF_PreampGain,'7227'!B64,'7227'!B64,'7227'!B64,V65,0)</f>
        <v>22.990000260000002</v>
      </c>
      <c r="AE65" s="2">
        <f>CHOOSE(Preamp_DataType,SF_PreampNF,'7227'!E64,'7227'!E64,'7227'!E64,W65,0)</f>
        <v>5</v>
      </c>
      <c r="AF65" s="2">
        <f>CHOOSE(Preamp_DataType,SF_PreampGamIn,10^('7227'!F64/20),10^('7227'!F64/20),10^('7227'!F64/20),X65,0)</f>
        <v>0.3981071705534972</v>
      </c>
      <c r="AG65" s="2">
        <f>CHOOSE(Preamp_DataType,SF_PreampGamOut,10^('7227'!G64/20),10^('7227'!G64/20),10^('7227'!G64/20),Y65,0)</f>
        <v>0.28183829312644532</v>
      </c>
      <c r="AH65" s="2">
        <f>UseReverse*CHOOSE(Preamp_DataType,PreampRevRatio,'7227'!H64,'7227'!H64,'7227'!H64,Z65,0)</f>
        <v>0</v>
      </c>
      <c r="AI65" s="2">
        <f>CHOOSE(Preamp_DataType,sf_PreampP1dB,'7227'!I64,'7227'!I64,'7227'!I64,AA65,0)</f>
        <v>5</v>
      </c>
      <c r="AJ65" s="3">
        <f>10*LOG10((NseMeas!J64/NseMeas!BW)*P1dbBWghz*1000000000)</f>
        <v>-28.652597449359142</v>
      </c>
      <c r="AK65" s="2" t="b">
        <f t="shared" si="15"/>
        <v>0</v>
      </c>
    </row>
    <row r="66" spans="1:37">
      <c r="A66" s="11">
        <v>0</v>
      </c>
      <c r="B66" s="11" t="s">
        <v>0</v>
      </c>
      <c r="C66" s="11">
        <v>0</v>
      </c>
      <c r="D66" s="11">
        <v>0</v>
      </c>
      <c r="E66" s="11">
        <v>0</v>
      </c>
      <c r="F66" s="11">
        <v>0</v>
      </c>
      <c r="G66" s="11">
        <v>0</v>
      </c>
      <c r="H66" s="11">
        <v>0</v>
      </c>
      <c r="I66" s="2">
        <f t="shared" si="18"/>
        <v>1.0000000000000001E-9</v>
      </c>
      <c r="J66" s="2">
        <f t="shared" si="19"/>
        <v>1000</v>
      </c>
      <c r="K66" s="2">
        <f t="shared" si="6"/>
        <v>970</v>
      </c>
      <c r="L66" s="2">
        <f t="shared" si="7"/>
        <v>0</v>
      </c>
      <c r="Q66" s="2">
        <f t="shared" si="12"/>
        <v>0</v>
      </c>
      <c r="R66" s="2">
        <f t="shared" si="13"/>
        <v>0</v>
      </c>
      <c r="T66" s="2">
        <f t="shared" si="16"/>
        <v>61</v>
      </c>
      <c r="U66" s="2">
        <f t="shared" si="26"/>
        <v>26.5001</v>
      </c>
      <c r="V66" s="2">
        <v>28.45</v>
      </c>
      <c r="W66" s="2">
        <v>5.36</v>
      </c>
      <c r="X66" s="2">
        <v>0.14000000000000001</v>
      </c>
      <c r="Y66" s="2">
        <v>0.06</v>
      </c>
      <c r="Z66" s="2">
        <v>0.15</v>
      </c>
      <c r="AA66" s="2">
        <v>10</v>
      </c>
      <c r="AC66" s="2">
        <f t="shared" si="20"/>
        <v>26.5001</v>
      </c>
      <c r="AD66" s="2">
        <f>CHOOSE(Preamp_DataType,SF_PreampGain,'7227'!B65,'7227'!B65,'7227'!B65,V66,0)</f>
        <v>22.990000260000002</v>
      </c>
      <c r="AE66" s="2">
        <f>CHOOSE(Preamp_DataType,SF_PreampNF,'7227'!E65,'7227'!E65,'7227'!E65,W66,0)</f>
        <v>5</v>
      </c>
      <c r="AF66" s="2">
        <f>CHOOSE(Preamp_DataType,SF_PreampGamIn,10^('7227'!F65/20),10^('7227'!F65/20),10^('7227'!F65/20),X66,0)</f>
        <v>0.3981071705534972</v>
      </c>
      <c r="AG66" s="2">
        <f>CHOOSE(Preamp_DataType,SF_PreampGamOut,10^('7227'!G65/20),10^('7227'!G65/20),10^('7227'!G65/20),Y66,0)</f>
        <v>0.28183829312644532</v>
      </c>
      <c r="AH66" s="2">
        <f>UseReverse*CHOOSE(Preamp_DataType,PreampRevRatio,'7227'!H65,'7227'!H65,'7227'!H65,Z66,0)</f>
        <v>0</v>
      </c>
      <c r="AI66" s="2">
        <f>CHOOSE(Preamp_DataType,sf_PreampP1dB,'7227'!I65,'7227'!I65,'7227'!I65,AA66,0)</f>
        <v>5</v>
      </c>
      <c r="AJ66" s="3">
        <f>10*LOG10((NseMeas!J65/NseMeas!BW)*P1dbBWghz*1000000000)</f>
        <v>-28.652597449359142</v>
      </c>
      <c r="AK66" s="2" t="b">
        <f t="shared" si="15"/>
        <v>0</v>
      </c>
    </row>
    <row r="67" spans="1:37">
      <c r="A67" s="11">
        <v>0</v>
      </c>
      <c r="B67" s="11" t="s">
        <v>0</v>
      </c>
      <c r="C67" s="11">
        <v>0</v>
      </c>
      <c r="D67" s="11">
        <v>0</v>
      </c>
      <c r="E67" s="11">
        <v>0</v>
      </c>
      <c r="F67" s="11">
        <v>0</v>
      </c>
      <c r="G67" s="11">
        <v>0</v>
      </c>
      <c r="H67" s="11">
        <v>0</v>
      </c>
      <c r="I67" s="2">
        <f t="shared" si="18"/>
        <v>1.0000000000000001E-9</v>
      </c>
      <c r="J67" s="2">
        <f t="shared" si="19"/>
        <v>1000</v>
      </c>
      <c r="K67" s="2">
        <f t="shared" si="6"/>
        <v>970</v>
      </c>
      <c r="L67" s="2">
        <f t="shared" si="7"/>
        <v>0</v>
      </c>
      <c r="Q67" s="2">
        <f t="shared" si="12"/>
        <v>0</v>
      </c>
      <c r="R67" s="2">
        <f t="shared" si="13"/>
        <v>0</v>
      </c>
      <c r="T67" s="2">
        <f t="shared" si="16"/>
        <v>62</v>
      </c>
      <c r="U67" s="2">
        <f t="shared" si="26"/>
        <v>26.5001</v>
      </c>
      <c r="V67" s="2">
        <v>28.45</v>
      </c>
      <c r="W67" s="2">
        <v>5.36</v>
      </c>
      <c r="X67" s="2">
        <v>0.14000000000000001</v>
      </c>
      <c r="Y67" s="2">
        <v>0.06</v>
      </c>
      <c r="Z67" s="2">
        <v>0.15</v>
      </c>
      <c r="AA67" s="2">
        <v>10</v>
      </c>
      <c r="AC67" s="2">
        <f t="shared" si="20"/>
        <v>26.5001</v>
      </c>
      <c r="AD67" s="2">
        <f>CHOOSE(Preamp_DataType,SF_PreampGain,'7227'!B66,'7227'!B66,'7227'!B66,V67,0)</f>
        <v>22.990000260000002</v>
      </c>
      <c r="AE67" s="2">
        <f>CHOOSE(Preamp_DataType,SF_PreampNF,'7227'!E66,'7227'!E66,'7227'!E66,W67,0)</f>
        <v>5</v>
      </c>
      <c r="AF67" s="2">
        <f>CHOOSE(Preamp_DataType,SF_PreampGamIn,10^('7227'!F66/20),10^('7227'!F66/20),10^('7227'!F66/20),X67,0)</f>
        <v>0.3981071705534972</v>
      </c>
      <c r="AG67" s="2">
        <f>CHOOSE(Preamp_DataType,SF_PreampGamOut,10^('7227'!G66/20),10^('7227'!G66/20),10^('7227'!G66/20),Y67,0)</f>
        <v>0.28183829312644532</v>
      </c>
      <c r="AH67" s="2">
        <f>UseReverse*CHOOSE(Preamp_DataType,PreampRevRatio,'7227'!H66,'7227'!H66,'7227'!H66,Z67,0)</f>
        <v>0</v>
      </c>
      <c r="AI67" s="2">
        <f>CHOOSE(Preamp_DataType,sf_PreampP1dB,'7227'!I66,'7227'!I66,'7227'!I66,AA67,0)</f>
        <v>5</v>
      </c>
      <c r="AJ67" s="3">
        <f>10*LOG10((NseMeas!J66/NseMeas!BW)*P1dbBWghz*1000000000)</f>
        <v>-28.652597449359142</v>
      </c>
      <c r="AK67" s="2" t="b">
        <f t="shared" si="15"/>
        <v>0</v>
      </c>
    </row>
    <row r="68" spans="1:37">
      <c r="A68" s="11">
        <v>0</v>
      </c>
      <c r="B68" s="11" t="s">
        <v>0</v>
      </c>
      <c r="C68" s="11">
        <v>0</v>
      </c>
      <c r="D68" s="11">
        <v>0</v>
      </c>
      <c r="E68" s="11">
        <v>0</v>
      </c>
      <c r="F68" s="11">
        <v>0</v>
      </c>
      <c r="G68" s="11">
        <v>0</v>
      </c>
      <c r="H68" s="11">
        <v>0</v>
      </c>
      <c r="I68" s="2">
        <f t="shared" si="18"/>
        <v>1.0000000000000001E-9</v>
      </c>
      <c r="J68" s="2">
        <f t="shared" si="19"/>
        <v>1000</v>
      </c>
      <c r="K68" s="2">
        <f t="shared" si="6"/>
        <v>970</v>
      </c>
      <c r="L68" s="2">
        <f t="shared" si="7"/>
        <v>0</v>
      </c>
      <c r="Q68" s="2">
        <f t="shared" si="12"/>
        <v>0</v>
      </c>
      <c r="R68" s="2">
        <f t="shared" si="13"/>
        <v>0</v>
      </c>
      <c r="T68" s="2">
        <f t="shared" si="16"/>
        <v>63</v>
      </c>
      <c r="U68" s="2">
        <f t="shared" si="26"/>
        <v>26.5001</v>
      </c>
      <c r="V68" s="2">
        <v>28.45</v>
      </c>
      <c r="W68" s="2">
        <v>5.36</v>
      </c>
      <c r="X68" s="2">
        <v>0.14000000000000001</v>
      </c>
      <c r="Y68" s="2">
        <v>0.06</v>
      </c>
      <c r="Z68" s="2">
        <v>0.15</v>
      </c>
      <c r="AA68" s="2">
        <v>10</v>
      </c>
      <c r="AC68" s="2">
        <f t="shared" si="20"/>
        <v>26.5001</v>
      </c>
      <c r="AD68" s="2">
        <f>CHOOSE(Preamp_DataType,SF_PreampGain,'7227'!B67,'7227'!B67,'7227'!B67,V68,0)</f>
        <v>22.990000260000002</v>
      </c>
      <c r="AE68" s="2">
        <f>CHOOSE(Preamp_DataType,SF_PreampNF,'7227'!E67,'7227'!E67,'7227'!E67,W68,0)</f>
        <v>5</v>
      </c>
      <c r="AF68" s="2">
        <f>CHOOSE(Preamp_DataType,SF_PreampGamIn,10^('7227'!F67/20),10^('7227'!F67/20),10^('7227'!F67/20),X68,0)</f>
        <v>0.3981071705534972</v>
      </c>
      <c r="AG68" s="2">
        <f>CHOOSE(Preamp_DataType,SF_PreampGamOut,10^('7227'!G67/20),10^('7227'!G67/20),10^('7227'!G67/20),Y68,0)</f>
        <v>0.28183829312644532</v>
      </c>
      <c r="AH68" s="2">
        <f>UseReverse*CHOOSE(Preamp_DataType,PreampRevRatio,'7227'!H67,'7227'!H67,'7227'!H67,Z68,0)</f>
        <v>0</v>
      </c>
      <c r="AI68" s="2">
        <f>CHOOSE(Preamp_DataType,sf_PreampP1dB,'7227'!I67,'7227'!I67,'7227'!I67,AA68,0)</f>
        <v>5</v>
      </c>
      <c r="AJ68" s="3">
        <f>10*LOG10((NseMeas!J67/NseMeas!BW)*P1dbBWghz*1000000000)</f>
        <v>-28.652597449359142</v>
      </c>
      <c r="AK68" s="2" t="b">
        <f t="shared" si="15"/>
        <v>0</v>
      </c>
    </row>
    <row r="69" spans="1:37">
      <c r="A69" s="11">
        <v>0</v>
      </c>
      <c r="B69" s="11" t="s">
        <v>0</v>
      </c>
      <c r="C69" s="11">
        <v>0</v>
      </c>
      <c r="D69" s="11">
        <v>0</v>
      </c>
      <c r="E69" s="11">
        <v>0</v>
      </c>
      <c r="F69" s="11">
        <v>0</v>
      </c>
      <c r="G69" s="11">
        <v>0</v>
      </c>
      <c r="H69" s="11">
        <v>0</v>
      </c>
      <c r="I69" s="2">
        <f t="shared" si="18"/>
        <v>1.0000000000000001E-9</v>
      </c>
      <c r="J69" s="2">
        <f t="shared" si="19"/>
        <v>1000</v>
      </c>
      <c r="K69" s="2">
        <f t="shared" si="6"/>
        <v>970</v>
      </c>
      <c r="L69" s="2">
        <f t="shared" si="7"/>
        <v>0</v>
      </c>
      <c r="Q69" s="2">
        <f t="shared" si="12"/>
        <v>0</v>
      </c>
      <c r="R69" s="2">
        <f t="shared" si="13"/>
        <v>0</v>
      </c>
      <c r="T69" s="2">
        <f t="shared" si="16"/>
        <v>64</v>
      </c>
      <c r="U69" s="2">
        <f t="shared" si="26"/>
        <v>26.5001</v>
      </c>
      <c r="V69" s="2">
        <v>28.45</v>
      </c>
      <c r="W69" s="2">
        <v>5.36</v>
      </c>
      <c r="X69" s="2">
        <v>0.14000000000000001</v>
      </c>
      <c r="Y69" s="2">
        <v>0.06</v>
      </c>
      <c r="Z69" s="2">
        <v>0.15</v>
      </c>
      <c r="AA69" s="2">
        <v>10</v>
      </c>
      <c r="AC69" s="2">
        <f t="shared" si="20"/>
        <v>26.5001</v>
      </c>
      <c r="AD69" s="2">
        <f>CHOOSE(Preamp_DataType,SF_PreampGain,'7227'!B68,'7227'!B68,'7227'!B68,V69,0)</f>
        <v>22.990000260000002</v>
      </c>
      <c r="AE69" s="2">
        <f>CHOOSE(Preamp_DataType,SF_PreampNF,'7227'!E68,'7227'!E68,'7227'!E68,W69,0)</f>
        <v>5</v>
      </c>
      <c r="AF69" s="2">
        <f>CHOOSE(Preamp_DataType,SF_PreampGamIn,10^('7227'!F68/20),10^('7227'!F68/20),10^('7227'!F68/20),X69,0)</f>
        <v>0.3981071705534972</v>
      </c>
      <c r="AG69" s="2">
        <f>CHOOSE(Preamp_DataType,SF_PreampGamOut,10^('7227'!G68/20),10^('7227'!G68/20),10^('7227'!G68/20),Y69,0)</f>
        <v>0.28183829312644532</v>
      </c>
      <c r="AH69" s="2">
        <f>UseReverse*CHOOSE(Preamp_DataType,PreampRevRatio,'7227'!H68,'7227'!H68,'7227'!H68,Z69,0)</f>
        <v>0</v>
      </c>
      <c r="AI69" s="2">
        <f>CHOOSE(Preamp_DataType,sf_PreampP1dB,'7227'!I68,'7227'!I68,'7227'!I68,AA69,0)</f>
        <v>5</v>
      </c>
      <c r="AJ69" s="3">
        <f>10*LOG10((NseMeas!J68/NseMeas!BW)*P1dbBWghz*1000000000)</f>
        <v>-28.652597449359142</v>
      </c>
      <c r="AK69" s="2" t="b">
        <f t="shared" si="15"/>
        <v>0</v>
      </c>
    </row>
    <row r="70" spans="1:37">
      <c r="A70" s="11">
        <v>0</v>
      </c>
      <c r="B70" s="11" t="s">
        <v>0</v>
      </c>
      <c r="C70" s="11">
        <v>0</v>
      </c>
      <c r="D70" s="11">
        <v>0</v>
      </c>
      <c r="E70" s="11">
        <v>0</v>
      </c>
      <c r="F70" s="11">
        <v>0</v>
      </c>
      <c r="G70" s="11">
        <v>0</v>
      </c>
      <c r="H70" s="11">
        <v>0</v>
      </c>
      <c r="I70" s="2">
        <f t="shared" ref="I70:I101" si="27">IF(UPPER(TRIM(B70))="MHZ",0.001,IF((UPPER(TRIM(B70)))="GHZ",1,IF(UPPER(TRIM(B70))="KHZ",0.000001,0.000000001)))</f>
        <v>1.0000000000000001E-9</v>
      </c>
      <c r="J70" s="2">
        <f t="shared" ref="J70:J101" si="28">IF(A70&gt;0,A70*I70,1000)</f>
        <v>1000</v>
      </c>
      <c r="K70" s="2">
        <f t="shared" si="6"/>
        <v>970</v>
      </c>
      <c r="L70" s="2">
        <f t="shared" si="7"/>
        <v>0</v>
      </c>
      <c r="Q70" s="2">
        <f t="shared" si="12"/>
        <v>0</v>
      </c>
      <c r="R70" s="2">
        <f t="shared" si="13"/>
        <v>0</v>
      </c>
      <c r="T70" s="2">
        <f t="shared" si="16"/>
        <v>65</v>
      </c>
      <c r="U70" s="2">
        <f t="shared" si="26"/>
        <v>26.5001</v>
      </c>
      <c r="V70" s="2">
        <v>28.45</v>
      </c>
      <c r="W70" s="2">
        <v>5.36</v>
      </c>
      <c r="X70" s="2">
        <v>0.14000000000000001</v>
      </c>
      <c r="Y70" s="2">
        <v>0.06</v>
      </c>
      <c r="Z70" s="2">
        <v>0.15</v>
      </c>
      <c r="AA70" s="2">
        <v>10</v>
      </c>
      <c r="AC70" s="2">
        <f t="shared" ref="AC70:AC106" si="29">U70</f>
        <v>26.5001</v>
      </c>
      <c r="AD70" s="2">
        <f>CHOOSE(Preamp_DataType,SF_PreampGain,'7227'!B69,'7227'!B69,'7227'!B69,V70,0)</f>
        <v>22.990000260000002</v>
      </c>
      <c r="AE70" s="2">
        <f>CHOOSE(Preamp_DataType,SF_PreampNF,'7227'!E69,'7227'!E69,'7227'!E69,W70,0)</f>
        <v>5</v>
      </c>
      <c r="AF70" s="2">
        <f>CHOOSE(Preamp_DataType,SF_PreampGamIn,10^('7227'!F69/20),10^('7227'!F69/20),10^('7227'!F69/20),X70,0)</f>
        <v>0.3981071705534972</v>
      </c>
      <c r="AG70" s="2">
        <f>CHOOSE(Preamp_DataType,SF_PreampGamOut,10^('7227'!G69/20),10^('7227'!G69/20),10^('7227'!G69/20),Y70,0)</f>
        <v>0.28183829312644532</v>
      </c>
      <c r="AH70" s="2">
        <f>UseReverse*CHOOSE(Preamp_DataType,PreampRevRatio,'7227'!H69,'7227'!H69,'7227'!H69,Z70,0)</f>
        <v>0</v>
      </c>
      <c r="AI70" s="2">
        <f>CHOOSE(Preamp_DataType,sf_PreampP1dB,'7227'!I69,'7227'!I69,'7227'!I69,AA70,0)</f>
        <v>5</v>
      </c>
      <c r="AJ70" s="3">
        <f>10*LOG10((NseMeas!J69/NseMeas!BW)*P1dbBWghz*1000000000)</f>
        <v>-28.652597449359142</v>
      </c>
      <c r="AK70" s="2" t="b">
        <f t="shared" si="15"/>
        <v>0</v>
      </c>
    </row>
    <row r="71" spans="1:37">
      <c r="A71" s="11">
        <v>0</v>
      </c>
      <c r="B71" s="11" t="s">
        <v>0</v>
      </c>
      <c r="C71" s="11">
        <v>0</v>
      </c>
      <c r="D71" s="11">
        <v>0</v>
      </c>
      <c r="E71" s="11">
        <v>0</v>
      </c>
      <c r="F71" s="11">
        <v>0</v>
      </c>
      <c r="G71" s="11">
        <v>0</v>
      </c>
      <c r="H71" s="11">
        <v>0</v>
      </c>
      <c r="I71" s="2">
        <f t="shared" si="27"/>
        <v>1.0000000000000001E-9</v>
      </c>
      <c r="J71" s="2">
        <f t="shared" si="28"/>
        <v>1000</v>
      </c>
      <c r="K71" s="2">
        <f t="shared" ref="K71:K101" si="30">ABS(L$4-J71)</f>
        <v>970</v>
      </c>
      <c r="L71" s="2">
        <f t="shared" ref="L71:L101" si="31">IF(K71=K$4,1,0)</f>
        <v>0</v>
      </c>
      <c r="Q71" s="2">
        <f t="shared" ref="Q71:Q101" si="32">$L71*G71</f>
        <v>0</v>
      </c>
      <c r="R71" s="2">
        <f t="shared" ref="R71:R101" si="33">$L71*H71</f>
        <v>0</v>
      </c>
      <c r="T71" s="2">
        <f t="shared" si="16"/>
        <v>66</v>
      </c>
      <c r="U71" s="2">
        <f t="shared" ref="U71:U107" si="34">IF($T$4&gt;=0,IF(U70&gt;=$T$5,$T$5+0.0001,U70+$T$4),IF(U70&lt;=$T$5,$T$5-0.0001,U70+$T$4))</f>
        <v>26.5001</v>
      </c>
      <c r="V71" s="2">
        <v>28.45</v>
      </c>
      <c r="W71" s="2">
        <v>5.36</v>
      </c>
      <c r="X71" s="2">
        <v>0.14000000000000001</v>
      </c>
      <c r="Y71" s="2">
        <v>0.06</v>
      </c>
      <c r="Z71" s="2">
        <v>0.15</v>
      </c>
      <c r="AA71" s="2">
        <v>10</v>
      </c>
      <c r="AC71" s="2">
        <f t="shared" si="29"/>
        <v>26.5001</v>
      </c>
      <c r="AD71" s="2">
        <f>CHOOSE(Preamp_DataType,SF_PreampGain,'7227'!B70,'7227'!B70,'7227'!B70,V71,0)</f>
        <v>22.990000260000002</v>
      </c>
      <c r="AE71" s="2">
        <f>CHOOSE(Preamp_DataType,SF_PreampNF,'7227'!E70,'7227'!E70,'7227'!E70,W71,0)</f>
        <v>5</v>
      </c>
      <c r="AF71" s="2">
        <f>CHOOSE(Preamp_DataType,SF_PreampGamIn,10^('7227'!F70/20),10^('7227'!F70/20),10^('7227'!F70/20),X71,0)</f>
        <v>0.3981071705534972</v>
      </c>
      <c r="AG71" s="2">
        <f>CHOOSE(Preamp_DataType,SF_PreampGamOut,10^('7227'!G70/20),10^('7227'!G70/20),10^('7227'!G70/20),Y71,0)</f>
        <v>0.28183829312644532</v>
      </c>
      <c r="AH71" s="2">
        <f>UseReverse*CHOOSE(Preamp_DataType,PreampRevRatio,'7227'!H70,'7227'!H70,'7227'!H70,Z71,0)</f>
        <v>0</v>
      </c>
      <c r="AI71" s="2">
        <f>CHOOSE(Preamp_DataType,sf_PreampP1dB,'7227'!I70,'7227'!I70,'7227'!I70,AA71,0)</f>
        <v>5</v>
      </c>
      <c r="AJ71" s="3">
        <f>10*LOG10((NseMeas!J70/NseMeas!BW)*P1dbBWghz*1000000000)</f>
        <v>-28.652597449359142</v>
      </c>
      <c r="AK71" s="2" t="b">
        <f t="shared" ref="AK71:AK107" si="35">(AJ71&gt;=(AI71-10))</f>
        <v>0</v>
      </c>
    </row>
    <row r="72" spans="1:37">
      <c r="A72" s="11">
        <v>0</v>
      </c>
      <c r="B72" s="11" t="s">
        <v>0</v>
      </c>
      <c r="C72" s="11">
        <v>0</v>
      </c>
      <c r="D72" s="11">
        <v>0</v>
      </c>
      <c r="E72" s="11">
        <v>0</v>
      </c>
      <c r="F72" s="11">
        <v>0</v>
      </c>
      <c r="G72" s="11">
        <v>0</v>
      </c>
      <c r="H72" s="11">
        <v>0</v>
      </c>
      <c r="I72" s="2">
        <f t="shared" si="27"/>
        <v>1.0000000000000001E-9</v>
      </c>
      <c r="J72" s="2">
        <f t="shared" si="28"/>
        <v>1000</v>
      </c>
      <c r="K72" s="2">
        <f t="shared" si="30"/>
        <v>970</v>
      </c>
      <c r="L72" s="2">
        <f t="shared" si="31"/>
        <v>0</v>
      </c>
      <c r="Q72" s="2">
        <f t="shared" si="32"/>
        <v>0</v>
      </c>
      <c r="R72" s="2">
        <f t="shared" si="33"/>
        <v>0</v>
      </c>
      <c r="T72" s="2">
        <f t="shared" ref="T72:T107" si="36">1+T71</f>
        <v>67</v>
      </c>
      <c r="U72" s="2">
        <f t="shared" si="34"/>
        <v>26.5001</v>
      </c>
      <c r="V72" s="2">
        <v>28.45</v>
      </c>
      <c r="W72" s="2">
        <v>5.36</v>
      </c>
      <c r="X72" s="2">
        <v>0.14000000000000001</v>
      </c>
      <c r="Y72" s="2">
        <v>0.06</v>
      </c>
      <c r="Z72" s="2">
        <v>0.15</v>
      </c>
      <c r="AA72" s="2">
        <v>10</v>
      </c>
      <c r="AC72" s="2">
        <f t="shared" si="29"/>
        <v>26.5001</v>
      </c>
      <c r="AD72" s="2">
        <f>CHOOSE(Preamp_DataType,SF_PreampGain,'7227'!B71,'7227'!B71,'7227'!B71,V72,0)</f>
        <v>22.990000260000002</v>
      </c>
      <c r="AE72" s="2">
        <f>CHOOSE(Preamp_DataType,SF_PreampNF,'7227'!E71,'7227'!E71,'7227'!E71,W72,0)</f>
        <v>5</v>
      </c>
      <c r="AF72" s="2">
        <f>CHOOSE(Preamp_DataType,SF_PreampGamIn,10^('7227'!F71/20),10^('7227'!F71/20),10^('7227'!F71/20),X72,0)</f>
        <v>0.3981071705534972</v>
      </c>
      <c r="AG72" s="2">
        <f>CHOOSE(Preamp_DataType,SF_PreampGamOut,10^('7227'!G71/20),10^('7227'!G71/20),10^('7227'!G71/20),Y72,0)</f>
        <v>0.28183829312644532</v>
      </c>
      <c r="AH72" s="2">
        <f>UseReverse*CHOOSE(Preamp_DataType,PreampRevRatio,'7227'!H71,'7227'!H71,'7227'!H71,Z72,0)</f>
        <v>0</v>
      </c>
      <c r="AI72" s="2">
        <f>CHOOSE(Preamp_DataType,sf_PreampP1dB,'7227'!I71,'7227'!I71,'7227'!I71,AA72,0)</f>
        <v>5</v>
      </c>
      <c r="AJ72" s="3">
        <f>10*LOG10((NseMeas!J71/NseMeas!BW)*P1dbBWghz*1000000000)</f>
        <v>-28.652597449359142</v>
      </c>
      <c r="AK72" s="2" t="b">
        <f t="shared" si="35"/>
        <v>0</v>
      </c>
    </row>
    <row r="73" spans="1:37">
      <c r="A73" s="11">
        <v>0</v>
      </c>
      <c r="B73" s="11" t="s">
        <v>0</v>
      </c>
      <c r="C73" s="11">
        <v>0</v>
      </c>
      <c r="D73" s="11">
        <v>0</v>
      </c>
      <c r="E73" s="11">
        <v>0</v>
      </c>
      <c r="F73" s="11">
        <v>0</v>
      </c>
      <c r="G73" s="11">
        <v>0</v>
      </c>
      <c r="H73" s="11">
        <v>0</v>
      </c>
      <c r="I73" s="2">
        <f t="shared" si="27"/>
        <v>1.0000000000000001E-9</v>
      </c>
      <c r="J73" s="2">
        <f t="shared" si="28"/>
        <v>1000</v>
      </c>
      <c r="K73" s="2">
        <f t="shared" si="30"/>
        <v>970</v>
      </c>
      <c r="L73" s="2">
        <f t="shared" si="31"/>
        <v>0</v>
      </c>
      <c r="Q73" s="2">
        <f t="shared" si="32"/>
        <v>0</v>
      </c>
      <c r="R73" s="2">
        <f t="shared" si="33"/>
        <v>0</v>
      </c>
      <c r="T73" s="2">
        <f t="shared" si="36"/>
        <v>68</v>
      </c>
      <c r="U73" s="2">
        <f t="shared" si="34"/>
        <v>26.5001</v>
      </c>
      <c r="V73" s="2">
        <v>28.45</v>
      </c>
      <c r="W73" s="2">
        <v>5.36</v>
      </c>
      <c r="X73" s="2">
        <v>0.14000000000000001</v>
      </c>
      <c r="Y73" s="2">
        <v>0.06</v>
      </c>
      <c r="Z73" s="2">
        <v>0.15</v>
      </c>
      <c r="AA73" s="2">
        <v>10</v>
      </c>
      <c r="AC73" s="2">
        <f t="shared" si="29"/>
        <v>26.5001</v>
      </c>
      <c r="AD73" s="2">
        <f>CHOOSE(Preamp_DataType,SF_PreampGain,'7227'!B72,'7227'!B72,'7227'!B72,V73,0)</f>
        <v>22.990000260000002</v>
      </c>
      <c r="AE73" s="2">
        <f>CHOOSE(Preamp_DataType,SF_PreampNF,'7227'!E72,'7227'!E72,'7227'!E72,W73,0)</f>
        <v>5</v>
      </c>
      <c r="AF73" s="2">
        <f>CHOOSE(Preamp_DataType,SF_PreampGamIn,10^('7227'!F72/20),10^('7227'!F72/20),10^('7227'!F72/20),X73,0)</f>
        <v>0.3981071705534972</v>
      </c>
      <c r="AG73" s="2">
        <f>CHOOSE(Preamp_DataType,SF_PreampGamOut,10^('7227'!G72/20),10^('7227'!G72/20),10^('7227'!G72/20),Y73,0)</f>
        <v>0.28183829312644532</v>
      </c>
      <c r="AH73" s="2">
        <f>UseReverse*CHOOSE(Preamp_DataType,PreampRevRatio,'7227'!H72,'7227'!H72,'7227'!H72,Z73,0)</f>
        <v>0</v>
      </c>
      <c r="AI73" s="2">
        <f>CHOOSE(Preamp_DataType,sf_PreampP1dB,'7227'!I72,'7227'!I72,'7227'!I72,AA73,0)</f>
        <v>5</v>
      </c>
      <c r="AJ73" s="3">
        <f>10*LOG10((NseMeas!J72/NseMeas!BW)*P1dbBWghz*1000000000)</f>
        <v>-28.652597449359142</v>
      </c>
      <c r="AK73" s="2" t="b">
        <f t="shared" si="35"/>
        <v>0</v>
      </c>
    </row>
    <row r="74" spans="1:37">
      <c r="A74" s="11">
        <v>0</v>
      </c>
      <c r="B74" s="11" t="s">
        <v>0</v>
      </c>
      <c r="C74" s="11">
        <v>0</v>
      </c>
      <c r="D74" s="11">
        <v>0</v>
      </c>
      <c r="E74" s="11">
        <v>0</v>
      </c>
      <c r="F74" s="11">
        <v>0</v>
      </c>
      <c r="G74" s="11">
        <v>0</v>
      </c>
      <c r="H74" s="11">
        <v>0</v>
      </c>
      <c r="I74" s="2">
        <f t="shared" si="27"/>
        <v>1.0000000000000001E-9</v>
      </c>
      <c r="J74" s="2">
        <f t="shared" si="28"/>
        <v>1000</v>
      </c>
      <c r="K74" s="2">
        <f t="shared" si="30"/>
        <v>970</v>
      </c>
      <c r="L74" s="2">
        <f t="shared" si="31"/>
        <v>0</v>
      </c>
      <c r="Q74" s="2">
        <f t="shared" si="32"/>
        <v>0</v>
      </c>
      <c r="R74" s="2">
        <f t="shared" si="33"/>
        <v>0</v>
      </c>
      <c r="T74" s="2">
        <f t="shared" si="36"/>
        <v>69</v>
      </c>
      <c r="U74" s="2">
        <f t="shared" si="34"/>
        <v>26.5001</v>
      </c>
      <c r="V74" s="2">
        <v>28.45</v>
      </c>
      <c r="W74" s="2">
        <v>5.36</v>
      </c>
      <c r="X74" s="2">
        <v>0.14000000000000001</v>
      </c>
      <c r="Y74" s="2">
        <v>0.06</v>
      </c>
      <c r="Z74" s="2">
        <v>0.15</v>
      </c>
      <c r="AA74" s="2">
        <v>10</v>
      </c>
      <c r="AC74" s="2">
        <f t="shared" si="29"/>
        <v>26.5001</v>
      </c>
      <c r="AD74" s="2">
        <f>CHOOSE(Preamp_DataType,SF_PreampGain,'7227'!B73,'7227'!B73,'7227'!B73,V74,0)</f>
        <v>22.990000260000002</v>
      </c>
      <c r="AE74" s="2">
        <f>CHOOSE(Preamp_DataType,SF_PreampNF,'7227'!E73,'7227'!E73,'7227'!E73,W74,0)</f>
        <v>5</v>
      </c>
      <c r="AF74" s="2">
        <f>CHOOSE(Preamp_DataType,SF_PreampGamIn,10^('7227'!F73/20),10^('7227'!F73/20),10^('7227'!F73/20),X74,0)</f>
        <v>0.3981071705534972</v>
      </c>
      <c r="AG74" s="2">
        <f>CHOOSE(Preamp_DataType,SF_PreampGamOut,10^('7227'!G73/20),10^('7227'!G73/20),10^('7227'!G73/20),Y74,0)</f>
        <v>0.28183829312644532</v>
      </c>
      <c r="AH74" s="2">
        <f>UseReverse*CHOOSE(Preamp_DataType,PreampRevRatio,'7227'!H73,'7227'!H73,'7227'!H73,Z74,0)</f>
        <v>0</v>
      </c>
      <c r="AI74" s="2">
        <f>CHOOSE(Preamp_DataType,sf_PreampP1dB,'7227'!I73,'7227'!I73,'7227'!I73,AA74,0)</f>
        <v>5</v>
      </c>
      <c r="AJ74" s="3">
        <f>10*LOG10((NseMeas!J73/NseMeas!BW)*P1dbBWghz*1000000000)</f>
        <v>-28.652597449359142</v>
      </c>
      <c r="AK74" s="2" t="b">
        <f t="shared" si="35"/>
        <v>0</v>
      </c>
    </row>
    <row r="75" spans="1:37">
      <c r="A75" s="11">
        <v>0</v>
      </c>
      <c r="B75" s="11" t="s">
        <v>0</v>
      </c>
      <c r="C75" s="11">
        <v>0</v>
      </c>
      <c r="D75" s="11">
        <v>0</v>
      </c>
      <c r="E75" s="11">
        <v>0</v>
      </c>
      <c r="F75" s="11">
        <v>0</v>
      </c>
      <c r="G75" s="11">
        <v>0</v>
      </c>
      <c r="H75" s="11">
        <v>0</v>
      </c>
      <c r="I75" s="2">
        <f t="shared" si="27"/>
        <v>1.0000000000000001E-9</v>
      </c>
      <c r="J75" s="2">
        <f t="shared" si="28"/>
        <v>1000</v>
      </c>
      <c r="K75" s="2">
        <f t="shared" si="30"/>
        <v>970</v>
      </c>
      <c r="L75" s="2">
        <f t="shared" si="31"/>
        <v>0</v>
      </c>
      <c r="Q75" s="2">
        <f t="shared" si="32"/>
        <v>0</v>
      </c>
      <c r="R75" s="2">
        <f t="shared" si="33"/>
        <v>0</v>
      </c>
      <c r="T75" s="2">
        <f t="shared" si="36"/>
        <v>70</v>
      </c>
      <c r="U75" s="2">
        <f t="shared" si="34"/>
        <v>26.5001</v>
      </c>
      <c r="V75" s="2">
        <v>28.45</v>
      </c>
      <c r="W75" s="2">
        <v>5.36</v>
      </c>
      <c r="X75" s="2">
        <v>0.14000000000000001</v>
      </c>
      <c r="Y75" s="2">
        <v>0.06</v>
      </c>
      <c r="Z75" s="2">
        <v>0.15</v>
      </c>
      <c r="AA75" s="2">
        <v>10</v>
      </c>
      <c r="AC75" s="2">
        <f t="shared" si="29"/>
        <v>26.5001</v>
      </c>
      <c r="AD75" s="2">
        <f>CHOOSE(Preamp_DataType,SF_PreampGain,'7227'!B74,'7227'!B74,'7227'!B74,V75,0)</f>
        <v>22.990000260000002</v>
      </c>
      <c r="AE75" s="2">
        <f>CHOOSE(Preamp_DataType,SF_PreampNF,'7227'!E74,'7227'!E74,'7227'!E74,W75,0)</f>
        <v>5</v>
      </c>
      <c r="AF75" s="2">
        <f>CHOOSE(Preamp_DataType,SF_PreampGamIn,10^('7227'!F74/20),10^('7227'!F74/20),10^('7227'!F74/20),X75,0)</f>
        <v>0.3981071705534972</v>
      </c>
      <c r="AG75" s="2">
        <f>CHOOSE(Preamp_DataType,SF_PreampGamOut,10^('7227'!G74/20),10^('7227'!G74/20),10^('7227'!G74/20),Y75,0)</f>
        <v>0.28183829312644532</v>
      </c>
      <c r="AH75" s="2">
        <f>UseReverse*CHOOSE(Preamp_DataType,PreampRevRatio,'7227'!H74,'7227'!H74,'7227'!H74,Z75,0)</f>
        <v>0</v>
      </c>
      <c r="AI75" s="2">
        <f>CHOOSE(Preamp_DataType,sf_PreampP1dB,'7227'!I74,'7227'!I74,'7227'!I74,AA75,0)</f>
        <v>5</v>
      </c>
      <c r="AJ75" s="3">
        <f>10*LOG10((NseMeas!J74/NseMeas!BW)*P1dbBWghz*1000000000)</f>
        <v>-28.652597449359142</v>
      </c>
      <c r="AK75" s="2" t="b">
        <f t="shared" si="35"/>
        <v>0</v>
      </c>
    </row>
    <row r="76" spans="1:37">
      <c r="A76" s="11">
        <v>0</v>
      </c>
      <c r="B76" s="11" t="s">
        <v>0</v>
      </c>
      <c r="C76" s="11">
        <v>0</v>
      </c>
      <c r="D76" s="11">
        <v>0</v>
      </c>
      <c r="E76" s="11">
        <v>0</v>
      </c>
      <c r="F76" s="11">
        <v>0</v>
      </c>
      <c r="G76" s="11">
        <v>0</v>
      </c>
      <c r="H76" s="11">
        <v>0</v>
      </c>
      <c r="I76" s="2">
        <f t="shared" si="27"/>
        <v>1.0000000000000001E-9</v>
      </c>
      <c r="J76" s="2">
        <f t="shared" si="28"/>
        <v>1000</v>
      </c>
      <c r="K76" s="2">
        <f t="shared" si="30"/>
        <v>970</v>
      </c>
      <c r="L76" s="2">
        <f t="shared" si="31"/>
        <v>0</v>
      </c>
      <c r="Q76" s="2">
        <f t="shared" si="32"/>
        <v>0</v>
      </c>
      <c r="R76" s="2">
        <f t="shared" si="33"/>
        <v>0</v>
      </c>
      <c r="T76" s="2">
        <f t="shared" si="36"/>
        <v>71</v>
      </c>
      <c r="U76" s="2">
        <f t="shared" si="34"/>
        <v>26.5001</v>
      </c>
      <c r="V76" s="2">
        <v>28.45</v>
      </c>
      <c r="W76" s="2">
        <v>5.36</v>
      </c>
      <c r="X76" s="2">
        <v>0.14000000000000001</v>
      </c>
      <c r="Y76" s="2">
        <v>0.06</v>
      </c>
      <c r="Z76" s="2">
        <v>0.15</v>
      </c>
      <c r="AA76" s="2">
        <v>10</v>
      </c>
      <c r="AC76" s="2">
        <f t="shared" si="29"/>
        <v>26.5001</v>
      </c>
      <c r="AD76" s="2">
        <f>CHOOSE(Preamp_DataType,SF_PreampGain,'7227'!B75,'7227'!B75,'7227'!B75,V76,0)</f>
        <v>22.990000260000002</v>
      </c>
      <c r="AE76" s="2">
        <f>CHOOSE(Preamp_DataType,SF_PreampNF,'7227'!E75,'7227'!E75,'7227'!E75,W76,0)</f>
        <v>5</v>
      </c>
      <c r="AF76" s="2">
        <f>CHOOSE(Preamp_DataType,SF_PreampGamIn,10^('7227'!F75/20),10^('7227'!F75/20),10^('7227'!F75/20),X76,0)</f>
        <v>0.3981071705534972</v>
      </c>
      <c r="AG76" s="2">
        <f>CHOOSE(Preamp_DataType,SF_PreampGamOut,10^('7227'!G75/20),10^('7227'!G75/20),10^('7227'!G75/20),Y76,0)</f>
        <v>0.28183829312644532</v>
      </c>
      <c r="AH76" s="2">
        <f>UseReverse*CHOOSE(Preamp_DataType,PreampRevRatio,'7227'!H75,'7227'!H75,'7227'!H75,Z76,0)</f>
        <v>0</v>
      </c>
      <c r="AI76" s="2">
        <f>CHOOSE(Preamp_DataType,sf_PreampP1dB,'7227'!I75,'7227'!I75,'7227'!I75,AA76,0)</f>
        <v>5</v>
      </c>
      <c r="AJ76" s="3">
        <f>10*LOG10((NseMeas!J75/NseMeas!BW)*P1dbBWghz*1000000000)</f>
        <v>-28.652597449359142</v>
      </c>
      <c r="AK76" s="2" t="b">
        <f t="shared" si="35"/>
        <v>0</v>
      </c>
    </row>
    <row r="77" spans="1:37">
      <c r="A77" s="11">
        <v>0</v>
      </c>
      <c r="B77" s="11" t="s">
        <v>0</v>
      </c>
      <c r="C77" s="11">
        <v>0</v>
      </c>
      <c r="D77" s="11">
        <v>0</v>
      </c>
      <c r="E77" s="11">
        <v>0</v>
      </c>
      <c r="F77" s="11">
        <v>0</v>
      </c>
      <c r="G77" s="11">
        <v>0</v>
      </c>
      <c r="H77" s="11">
        <v>0</v>
      </c>
      <c r="I77" s="2">
        <f t="shared" si="27"/>
        <v>1.0000000000000001E-9</v>
      </c>
      <c r="J77" s="2">
        <f t="shared" si="28"/>
        <v>1000</v>
      </c>
      <c r="K77" s="2">
        <f t="shared" si="30"/>
        <v>970</v>
      </c>
      <c r="L77" s="2">
        <f t="shared" si="31"/>
        <v>0</v>
      </c>
      <c r="Q77" s="2">
        <f t="shared" si="32"/>
        <v>0</v>
      </c>
      <c r="R77" s="2">
        <f t="shared" si="33"/>
        <v>0</v>
      </c>
      <c r="T77" s="2">
        <f t="shared" si="36"/>
        <v>72</v>
      </c>
      <c r="U77" s="2">
        <f t="shared" si="34"/>
        <v>26.5001</v>
      </c>
      <c r="V77" s="2">
        <v>28.45</v>
      </c>
      <c r="W77" s="2">
        <v>5.36</v>
      </c>
      <c r="X77" s="2">
        <v>0.14000000000000001</v>
      </c>
      <c r="Y77" s="2">
        <v>0.06</v>
      </c>
      <c r="Z77" s="2">
        <v>0.15</v>
      </c>
      <c r="AA77" s="2">
        <v>10</v>
      </c>
      <c r="AC77" s="2">
        <f t="shared" si="29"/>
        <v>26.5001</v>
      </c>
      <c r="AD77" s="2">
        <f>CHOOSE(Preamp_DataType,SF_PreampGain,'7227'!B76,'7227'!B76,'7227'!B76,V77,0)</f>
        <v>22.990000260000002</v>
      </c>
      <c r="AE77" s="2">
        <f>CHOOSE(Preamp_DataType,SF_PreampNF,'7227'!E76,'7227'!E76,'7227'!E76,W77,0)</f>
        <v>5</v>
      </c>
      <c r="AF77" s="2">
        <f>CHOOSE(Preamp_DataType,SF_PreampGamIn,10^('7227'!F76/20),10^('7227'!F76/20),10^('7227'!F76/20),X77,0)</f>
        <v>0.3981071705534972</v>
      </c>
      <c r="AG77" s="2">
        <f>CHOOSE(Preamp_DataType,SF_PreampGamOut,10^('7227'!G76/20),10^('7227'!G76/20),10^('7227'!G76/20),Y77,0)</f>
        <v>0.28183829312644532</v>
      </c>
      <c r="AH77" s="2">
        <f>UseReverse*CHOOSE(Preamp_DataType,PreampRevRatio,'7227'!H76,'7227'!H76,'7227'!H76,Z77,0)</f>
        <v>0</v>
      </c>
      <c r="AI77" s="2">
        <f>CHOOSE(Preamp_DataType,sf_PreampP1dB,'7227'!I76,'7227'!I76,'7227'!I76,AA77,0)</f>
        <v>5</v>
      </c>
      <c r="AJ77" s="3">
        <f>10*LOG10((NseMeas!J76/NseMeas!BW)*P1dbBWghz*1000000000)</f>
        <v>-28.652597449359142</v>
      </c>
      <c r="AK77" s="2" t="b">
        <f t="shared" si="35"/>
        <v>0</v>
      </c>
    </row>
    <row r="78" spans="1:37">
      <c r="A78" s="11">
        <v>0</v>
      </c>
      <c r="B78" s="11" t="s">
        <v>0</v>
      </c>
      <c r="C78" s="11">
        <v>0</v>
      </c>
      <c r="D78" s="11">
        <v>0</v>
      </c>
      <c r="E78" s="11">
        <v>0</v>
      </c>
      <c r="F78" s="11">
        <v>0</v>
      </c>
      <c r="G78" s="11">
        <v>0</v>
      </c>
      <c r="H78" s="11">
        <v>0</v>
      </c>
      <c r="I78" s="2">
        <f t="shared" si="27"/>
        <v>1.0000000000000001E-9</v>
      </c>
      <c r="J78" s="2">
        <f t="shared" si="28"/>
        <v>1000</v>
      </c>
      <c r="K78" s="2">
        <f t="shared" si="30"/>
        <v>970</v>
      </c>
      <c r="L78" s="2">
        <f t="shared" si="31"/>
        <v>0</v>
      </c>
      <c r="Q78" s="2">
        <f t="shared" si="32"/>
        <v>0</v>
      </c>
      <c r="R78" s="2">
        <f t="shared" si="33"/>
        <v>0</v>
      </c>
      <c r="T78" s="2">
        <f t="shared" si="36"/>
        <v>73</v>
      </c>
      <c r="U78" s="2">
        <f t="shared" si="34"/>
        <v>26.5001</v>
      </c>
      <c r="V78" s="2">
        <v>28.45</v>
      </c>
      <c r="W78" s="2">
        <v>5.36</v>
      </c>
      <c r="X78" s="2">
        <v>0.14000000000000001</v>
      </c>
      <c r="Y78" s="2">
        <v>0.06</v>
      </c>
      <c r="Z78" s="2">
        <v>0.15</v>
      </c>
      <c r="AA78" s="2">
        <v>10</v>
      </c>
      <c r="AC78" s="2">
        <f t="shared" si="29"/>
        <v>26.5001</v>
      </c>
      <c r="AD78" s="2">
        <f>CHOOSE(Preamp_DataType,SF_PreampGain,'7227'!B77,'7227'!B77,'7227'!B77,V78,0)</f>
        <v>22.990000260000002</v>
      </c>
      <c r="AE78" s="2">
        <f>CHOOSE(Preamp_DataType,SF_PreampNF,'7227'!E77,'7227'!E77,'7227'!E77,W78,0)</f>
        <v>5</v>
      </c>
      <c r="AF78" s="2">
        <f>CHOOSE(Preamp_DataType,SF_PreampGamIn,10^('7227'!F77/20),10^('7227'!F77/20),10^('7227'!F77/20),X78,0)</f>
        <v>0.3981071705534972</v>
      </c>
      <c r="AG78" s="2">
        <f>CHOOSE(Preamp_DataType,SF_PreampGamOut,10^('7227'!G77/20),10^('7227'!G77/20),10^('7227'!G77/20),Y78,0)</f>
        <v>0.28183829312644532</v>
      </c>
      <c r="AH78" s="2">
        <f>UseReverse*CHOOSE(Preamp_DataType,PreampRevRatio,'7227'!H77,'7227'!H77,'7227'!H77,Z78,0)</f>
        <v>0</v>
      </c>
      <c r="AI78" s="2">
        <f>CHOOSE(Preamp_DataType,sf_PreampP1dB,'7227'!I77,'7227'!I77,'7227'!I77,AA78,0)</f>
        <v>5</v>
      </c>
      <c r="AJ78" s="3">
        <f>10*LOG10((NseMeas!J77/NseMeas!BW)*P1dbBWghz*1000000000)</f>
        <v>-28.652597449359142</v>
      </c>
      <c r="AK78" s="2" t="b">
        <f t="shared" si="35"/>
        <v>0</v>
      </c>
    </row>
    <row r="79" spans="1:37">
      <c r="A79" s="11">
        <v>0</v>
      </c>
      <c r="B79" s="11" t="s">
        <v>0</v>
      </c>
      <c r="C79" s="11">
        <v>0</v>
      </c>
      <c r="D79" s="11">
        <v>0</v>
      </c>
      <c r="E79" s="11">
        <v>0</v>
      </c>
      <c r="F79" s="11">
        <v>0</v>
      </c>
      <c r="G79" s="11">
        <v>0</v>
      </c>
      <c r="H79" s="11">
        <v>0</v>
      </c>
      <c r="I79" s="2">
        <f t="shared" si="27"/>
        <v>1.0000000000000001E-9</v>
      </c>
      <c r="J79" s="2">
        <f t="shared" si="28"/>
        <v>1000</v>
      </c>
      <c r="K79" s="2">
        <f t="shared" si="30"/>
        <v>970</v>
      </c>
      <c r="L79" s="2">
        <f t="shared" si="31"/>
        <v>0</v>
      </c>
      <c r="Q79" s="2">
        <f t="shared" si="32"/>
        <v>0</v>
      </c>
      <c r="R79" s="2">
        <f t="shared" si="33"/>
        <v>0</v>
      </c>
      <c r="T79" s="2">
        <f t="shared" si="36"/>
        <v>74</v>
      </c>
      <c r="U79" s="2">
        <f t="shared" si="34"/>
        <v>26.5001</v>
      </c>
      <c r="V79" s="2">
        <v>28.45</v>
      </c>
      <c r="W79" s="2">
        <v>5.36</v>
      </c>
      <c r="X79" s="2">
        <v>0.14000000000000001</v>
      </c>
      <c r="Y79" s="2">
        <v>0.06</v>
      </c>
      <c r="Z79" s="2">
        <v>0.15</v>
      </c>
      <c r="AA79" s="2">
        <v>10</v>
      </c>
      <c r="AC79" s="2">
        <f t="shared" si="29"/>
        <v>26.5001</v>
      </c>
      <c r="AD79" s="2">
        <f>CHOOSE(Preamp_DataType,SF_PreampGain,'7227'!B78,'7227'!B78,'7227'!B78,V79,0)</f>
        <v>22.990000260000002</v>
      </c>
      <c r="AE79" s="2">
        <f>CHOOSE(Preamp_DataType,SF_PreampNF,'7227'!E78,'7227'!E78,'7227'!E78,W79,0)</f>
        <v>5</v>
      </c>
      <c r="AF79" s="2">
        <f>CHOOSE(Preamp_DataType,SF_PreampGamIn,10^('7227'!F78/20),10^('7227'!F78/20),10^('7227'!F78/20),X79,0)</f>
        <v>0.3981071705534972</v>
      </c>
      <c r="AG79" s="2">
        <f>CHOOSE(Preamp_DataType,SF_PreampGamOut,10^('7227'!G78/20),10^('7227'!G78/20),10^('7227'!G78/20),Y79,0)</f>
        <v>0.28183829312644532</v>
      </c>
      <c r="AH79" s="2">
        <f>UseReverse*CHOOSE(Preamp_DataType,PreampRevRatio,'7227'!H78,'7227'!H78,'7227'!H78,Z79,0)</f>
        <v>0</v>
      </c>
      <c r="AI79" s="2">
        <f>CHOOSE(Preamp_DataType,sf_PreampP1dB,'7227'!I78,'7227'!I78,'7227'!I78,AA79,0)</f>
        <v>5</v>
      </c>
      <c r="AJ79" s="3">
        <f>10*LOG10((NseMeas!J78/NseMeas!BW)*P1dbBWghz*1000000000)</f>
        <v>-28.652597449359142</v>
      </c>
      <c r="AK79" s="2" t="b">
        <f t="shared" si="35"/>
        <v>0</v>
      </c>
    </row>
    <row r="80" spans="1:37">
      <c r="A80" s="11">
        <v>0</v>
      </c>
      <c r="B80" s="11" t="s">
        <v>0</v>
      </c>
      <c r="C80" s="11">
        <v>0</v>
      </c>
      <c r="D80" s="11">
        <v>0</v>
      </c>
      <c r="E80" s="11">
        <v>0</v>
      </c>
      <c r="F80" s="11">
        <v>0</v>
      </c>
      <c r="G80" s="11">
        <v>0</v>
      </c>
      <c r="H80" s="11">
        <v>0</v>
      </c>
      <c r="I80" s="2">
        <f t="shared" si="27"/>
        <v>1.0000000000000001E-9</v>
      </c>
      <c r="J80" s="2">
        <f t="shared" si="28"/>
        <v>1000</v>
      </c>
      <c r="K80" s="2">
        <f t="shared" si="30"/>
        <v>970</v>
      </c>
      <c r="L80" s="2">
        <f t="shared" si="31"/>
        <v>0</v>
      </c>
      <c r="Q80" s="2">
        <f t="shared" si="32"/>
        <v>0</v>
      </c>
      <c r="R80" s="2">
        <f t="shared" si="33"/>
        <v>0</v>
      </c>
      <c r="T80" s="2">
        <f t="shared" si="36"/>
        <v>75</v>
      </c>
      <c r="U80" s="2">
        <f t="shared" si="34"/>
        <v>26.5001</v>
      </c>
      <c r="V80" s="2">
        <v>28.45</v>
      </c>
      <c r="W80" s="2">
        <v>5.36</v>
      </c>
      <c r="X80" s="2">
        <v>0.14000000000000001</v>
      </c>
      <c r="Y80" s="2">
        <v>0.06</v>
      </c>
      <c r="Z80" s="2">
        <v>0.15</v>
      </c>
      <c r="AA80" s="2">
        <v>10</v>
      </c>
      <c r="AC80" s="2">
        <f t="shared" si="29"/>
        <v>26.5001</v>
      </c>
      <c r="AD80" s="2">
        <f>CHOOSE(Preamp_DataType,SF_PreampGain,'7227'!B79,'7227'!B79,'7227'!B79,V80,0)</f>
        <v>22.990000260000002</v>
      </c>
      <c r="AE80" s="2">
        <f>CHOOSE(Preamp_DataType,SF_PreampNF,'7227'!E79,'7227'!E79,'7227'!E79,W80,0)</f>
        <v>5</v>
      </c>
      <c r="AF80" s="2">
        <f>CHOOSE(Preamp_DataType,SF_PreampGamIn,10^('7227'!F79/20),10^('7227'!F79/20),10^('7227'!F79/20),X80,0)</f>
        <v>0.3981071705534972</v>
      </c>
      <c r="AG80" s="2">
        <f>CHOOSE(Preamp_DataType,SF_PreampGamOut,10^('7227'!G79/20),10^('7227'!G79/20),10^('7227'!G79/20),Y80,0)</f>
        <v>0.28183829312644532</v>
      </c>
      <c r="AH80" s="2">
        <f>UseReverse*CHOOSE(Preamp_DataType,PreampRevRatio,'7227'!H79,'7227'!H79,'7227'!H79,Z80,0)</f>
        <v>0</v>
      </c>
      <c r="AI80" s="2">
        <f>CHOOSE(Preamp_DataType,sf_PreampP1dB,'7227'!I79,'7227'!I79,'7227'!I79,AA80,0)</f>
        <v>5</v>
      </c>
      <c r="AJ80" s="3">
        <f>10*LOG10((NseMeas!J79/NseMeas!BW)*P1dbBWghz*1000000000)</f>
        <v>-28.652597449359142</v>
      </c>
      <c r="AK80" s="2" t="b">
        <f t="shared" si="35"/>
        <v>0</v>
      </c>
    </row>
    <row r="81" spans="1:37">
      <c r="A81" s="11">
        <v>0</v>
      </c>
      <c r="B81" s="11" t="s">
        <v>0</v>
      </c>
      <c r="C81" s="11">
        <v>0</v>
      </c>
      <c r="D81" s="11">
        <v>0</v>
      </c>
      <c r="E81" s="11">
        <v>0</v>
      </c>
      <c r="F81" s="11">
        <v>0</v>
      </c>
      <c r="G81" s="11">
        <v>0</v>
      </c>
      <c r="H81" s="11">
        <v>0</v>
      </c>
      <c r="I81" s="2">
        <f t="shared" si="27"/>
        <v>1.0000000000000001E-9</v>
      </c>
      <c r="J81" s="2">
        <f t="shared" si="28"/>
        <v>1000</v>
      </c>
      <c r="K81" s="2">
        <f t="shared" si="30"/>
        <v>970</v>
      </c>
      <c r="L81" s="2">
        <f t="shared" si="31"/>
        <v>0</v>
      </c>
      <c r="Q81" s="2">
        <f t="shared" si="32"/>
        <v>0</v>
      </c>
      <c r="R81" s="2">
        <f t="shared" si="33"/>
        <v>0</v>
      </c>
      <c r="T81" s="2">
        <f t="shared" si="36"/>
        <v>76</v>
      </c>
      <c r="U81" s="2">
        <f t="shared" si="34"/>
        <v>26.5001</v>
      </c>
      <c r="V81" s="2">
        <v>28.45</v>
      </c>
      <c r="W81" s="2">
        <v>5.36</v>
      </c>
      <c r="X81" s="2">
        <v>0.14000000000000001</v>
      </c>
      <c r="Y81" s="2">
        <v>0.06</v>
      </c>
      <c r="Z81" s="2">
        <v>0.15</v>
      </c>
      <c r="AA81" s="2">
        <v>10</v>
      </c>
      <c r="AC81" s="2">
        <f t="shared" si="29"/>
        <v>26.5001</v>
      </c>
      <c r="AD81" s="2">
        <f>CHOOSE(Preamp_DataType,SF_PreampGain,'7227'!B80,'7227'!B80,'7227'!B80,V81,0)</f>
        <v>22.990000260000002</v>
      </c>
      <c r="AE81" s="2">
        <f>CHOOSE(Preamp_DataType,SF_PreampNF,'7227'!E80,'7227'!E80,'7227'!E80,W81,0)</f>
        <v>5</v>
      </c>
      <c r="AF81" s="2">
        <f>CHOOSE(Preamp_DataType,SF_PreampGamIn,10^('7227'!F80/20),10^('7227'!F80/20),10^('7227'!F80/20),X81,0)</f>
        <v>0.3981071705534972</v>
      </c>
      <c r="AG81" s="2">
        <f>CHOOSE(Preamp_DataType,SF_PreampGamOut,10^('7227'!G80/20),10^('7227'!G80/20),10^('7227'!G80/20),Y81,0)</f>
        <v>0.28183829312644532</v>
      </c>
      <c r="AH81" s="2">
        <f>UseReverse*CHOOSE(Preamp_DataType,PreampRevRatio,'7227'!H80,'7227'!H80,'7227'!H80,Z81,0)</f>
        <v>0</v>
      </c>
      <c r="AI81" s="2">
        <f>CHOOSE(Preamp_DataType,sf_PreampP1dB,'7227'!I80,'7227'!I80,'7227'!I80,AA81,0)</f>
        <v>5</v>
      </c>
      <c r="AJ81" s="3">
        <f>10*LOG10((NseMeas!J80/NseMeas!BW)*P1dbBWghz*1000000000)</f>
        <v>-28.652597449359142</v>
      </c>
      <c r="AK81" s="2" t="b">
        <f t="shared" si="35"/>
        <v>0</v>
      </c>
    </row>
    <row r="82" spans="1:37">
      <c r="A82" s="11">
        <v>0</v>
      </c>
      <c r="B82" s="11" t="s">
        <v>0</v>
      </c>
      <c r="C82" s="11">
        <v>0</v>
      </c>
      <c r="D82" s="11">
        <v>0</v>
      </c>
      <c r="E82" s="11">
        <v>0</v>
      </c>
      <c r="F82" s="11">
        <v>0</v>
      </c>
      <c r="G82" s="11">
        <v>0</v>
      </c>
      <c r="H82" s="11">
        <v>0</v>
      </c>
      <c r="I82" s="2">
        <f t="shared" si="27"/>
        <v>1.0000000000000001E-9</v>
      </c>
      <c r="J82" s="2">
        <f t="shared" si="28"/>
        <v>1000</v>
      </c>
      <c r="K82" s="2">
        <f t="shared" si="30"/>
        <v>970</v>
      </c>
      <c r="L82" s="2">
        <f t="shared" si="31"/>
        <v>0</v>
      </c>
      <c r="Q82" s="2">
        <f t="shared" si="32"/>
        <v>0</v>
      </c>
      <c r="R82" s="2">
        <f t="shared" si="33"/>
        <v>0</v>
      </c>
      <c r="T82" s="2">
        <f t="shared" si="36"/>
        <v>77</v>
      </c>
      <c r="U82" s="2">
        <f t="shared" si="34"/>
        <v>26.5001</v>
      </c>
      <c r="V82" s="2">
        <v>28.45</v>
      </c>
      <c r="W82" s="2">
        <v>5.36</v>
      </c>
      <c r="X82" s="2">
        <v>0.14000000000000001</v>
      </c>
      <c r="Y82" s="2">
        <v>0.06</v>
      </c>
      <c r="Z82" s="2">
        <v>0.15</v>
      </c>
      <c r="AA82" s="2">
        <v>10</v>
      </c>
      <c r="AC82" s="2">
        <f t="shared" si="29"/>
        <v>26.5001</v>
      </c>
      <c r="AD82" s="2">
        <f>CHOOSE(Preamp_DataType,SF_PreampGain,'7227'!B81,'7227'!B81,'7227'!B81,V82,0)</f>
        <v>22.990000260000002</v>
      </c>
      <c r="AE82" s="2">
        <f>CHOOSE(Preamp_DataType,SF_PreampNF,'7227'!E81,'7227'!E81,'7227'!E81,W82,0)</f>
        <v>5</v>
      </c>
      <c r="AF82" s="2">
        <f>CHOOSE(Preamp_DataType,SF_PreampGamIn,10^('7227'!F81/20),10^('7227'!F81/20),10^('7227'!F81/20),X82,0)</f>
        <v>0.3981071705534972</v>
      </c>
      <c r="AG82" s="2">
        <f>CHOOSE(Preamp_DataType,SF_PreampGamOut,10^('7227'!G81/20),10^('7227'!G81/20),10^('7227'!G81/20),Y82,0)</f>
        <v>0.28183829312644532</v>
      </c>
      <c r="AH82" s="2">
        <f>UseReverse*CHOOSE(Preamp_DataType,PreampRevRatio,'7227'!H81,'7227'!H81,'7227'!H81,Z82,0)</f>
        <v>0</v>
      </c>
      <c r="AI82" s="2">
        <f>CHOOSE(Preamp_DataType,sf_PreampP1dB,'7227'!I81,'7227'!I81,'7227'!I81,AA82,0)</f>
        <v>5</v>
      </c>
      <c r="AJ82" s="3">
        <f>10*LOG10((NseMeas!J81/NseMeas!BW)*P1dbBWghz*1000000000)</f>
        <v>-28.652597449359142</v>
      </c>
      <c r="AK82" s="2" t="b">
        <f t="shared" si="35"/>
        <v>0</v>
      </c>
    </row>
    <row r="83" spans="1:37">
      <c r="A83" s="11">
        <v>0</v>
      </c>
      <c r="B83" s="11" t="s">
        <v>0</v>
      </c>
      <c r="C83" s="11">
        <v>0</v>
      </c>
      <c r="D83" s="11">
        <v>0</v>
      </c>
      <c r="E83" s="11">
        <v>0</v>
      </c>
      <c r="F83" s="11">
        <v>0</v>
      </c>
      <c r="G83" s="11">
        <v>0</v>
      </c>
      <c r="H83" s="11">
        <v>0</v>
      </c>
      <c r="I83" s="2">
        <f t="shared" si="27"/>
        <v>1.0000000000000001E-9</v>
      </c>
      <c r="J83" s="2">
        <f t="shared" si="28"/>
        <v>1000</v>
      </c>
      <c r="K83" s="2">
        <f t="shared" si="30"/>
        <v>970</v>
      </c>
      <c r="L83" s="2">
        <f t="shared" si="31"/>
        <v>0</v>
      </c>
      <c r="Q83" s="2">
        <f t="shared" si="32"/>
        <v>0</v>
      </c>
      <c r="R83" s="2">
        <f t="shared" si="33"/>
        <v>0</v>
      </c>
      <c r="T83" s="2">
        <f t="shared" si="36"/>
        <v>78</v>
      </c>
      <c r="U83" s="2">
        <f t="shared" si="34"/>
        <v>26.5001</v>
      </c>
      <c r="V83" s="2">
        <v>28.45</v>
      </c>
      <c r="W83" s="2">
        <v>5.36</v>
      </c>
      <c r="X83" s="2">
        <v>0.14000000000000001</v>
      </c>
      <c r="Y83" s="2">
        <v>0.06</v>
      </c>
      <c r="Z83" s="2">
        <v>0.15</v>
      </c>
      <c r="AA83" s="2">
        <v>10</v>
      </c>
      <c r="AC83" s="2">
        <f t="shared" si="29"/>
        <v>26.5001</v>
      </c>
      <c r="AD83" s="2">
        <f>CHOOSE(Preamp_DataType,SF_PreampGain,'7227'!B82,'7227'!B82,'7227'!B82,V83,0)</f>
        <v>22.990000260000002</v>
      </c>
      <c r="AE83" s="2">
        <f>CHOOSE(Preamp_DataType,SF_PreampNF,'7227'!E82,'7227'!E82,'7227'!E82,W83,0)</f>
        <v>5</v>
      </c>
      <c r="AF83" s="2">
        <f>CHOOSE(Preamp_DataType,SF_PreampGamIn,10^('7227'!F82/20),10^('7227'!F82/20),10^('7227'!F82/20),X83,0)</f>
        <v>0.3981071705534972</v>
      </c>
      <c r="AG83" s="2">
        <f>CHOOSE(Preamp_DataType,SF_PreampGamOut,10^('7227'!G82/20),10^('7227'!G82/20),10^('7227'!G82/20),Y83,0)</f>
        <v>0.28183829312644532</v>
      </c>
      <c r="AH83" s="2">
        <f>UseReverse*CHOOSE(Preamp_DataType,PreampRevRatio,'7227'!H82,'7227'!H82,'7227'!H82,Z83,0)</f>
        <v>0</v>
      </c>
      <c r="AI83" s="2">
        <f>CHOOSE(Preamp_DataType,sf_PreampP1dB,'7227'!I82,'7227'!I82,'7227'!I82,AA83,0)</f>
        <v>5</v>
      </c>
      <c r="AJ83" s="3">
        <f>10*LOG10((NseMeas!J82/NseMeas!BW)*P1dbBWghz*1000000000)</f>
        <v>-28.652597449359142</v>
      </c>
      <c r="AK83" s="2" t="b">
        <f t="shared" si="35"/>
        <v>0</v>
      </c>
    </row>
    <row r="84" spans="1:37">
      <c r="A84" s="11">
        <v>0</v>
      </c>
      <c r="B84" s="11" t="s">
        <v>0</v>
      </c>
      <c r="C84" s="11">
        <v>0</v>
      </c>
      <c r="D84" s="11">
        <v>0</v>
      </c>
      <c r="E84" s="11">
        <v>0</v>
      </c>
      <c r="F84" s="11">
        <v>0</v>
      </c>
      <c r="G84" s="11">
        <v>0</v>
      </c>
      <c r="H84" s="11">
        <v>0</v>
      </c>
      <c r="I84" s="2">
        <f t="shared" si="27"/>
        <v>1.0000000000000001E-9</v>
      </c>
      <c r="J84" s="2">
        <f t="shared" si="28"/>
        <v>1000</v>
      </c>
      <c r="K84" s="2">
        <f t="shared" si="30"/>
        <v>970</v>
      </c>
      <c r="L84" s="2">
        <f t="shared" si="31"/>
        <v>0</v>
      </c>
      <c r="Q84" s="2">
        <f t="shared" si="32"/>
        <v>0</v>
      </c>
      <c r="R84" s="2">
        <f t="shared" si="33"/>
        <v>0</v>
      </c>
      <c r="T84" s="2">
        <f t="shared" si="36"/>
        <v>79</v>
      </c>
      <c r="U84" s="2">
        <f t="shared" si="34"/>
        <v>26.5001</v>
      </c>
      <c r="V84" s="2">
        <v>28.45</v>
      </c>
      <c r="W84" s="2">
        <v>5.36</v>
      </c>
      <c r="X84" s="2">
        <v>0.14000000000000001</v>
      </c>
      <c r="Y84" s="2">
        <v>0.06</v>
      </c>
      <c r="Z84" s="2">
        <v>0.15</v>
      </c>
      <c r="AA84" s="2">
        <v>10</v>
      </c>
      <c r="AC84" s="2">
        <f t="shared" si="29"/>
        <v>26.5001</v>
      </c>
      <c r="AD84" s="2">
        <f>CHOOSE(Preamp_DataType,SF_PreampGain,'7227'!B83,'7227'!B83,'7227'!B83,V84,0)</f>
        <v>22.990000260000002</v>
      </c>
      <c r="AE84" s="2">
        <f>CHOOSE(Preamp_DataType,SF_PreampNF,'7227'!E83,'7227'!E83,'7227'!E83,W84,0)</f>
        <v>5</v>
      </c>
      <c r="AF84" s="2">
        <f>CHOOSE(Preamp_DataType,SF_PreampGamIn,10^('7227'!F83/20),10^('7227'!F83/20),10^('7227'!F83/20),X84,0)</f>
        <v>0.3981071705534972</v>
      </c>
      <c r="AG84" s="2">
        <f>CHOOSE(Preamp_DataType,SF_PreampGamOut,10^('7227'!G83/20),10^('7227'!G83/20),10^('7227'!G83/20),Y84,0)</f>
        <v>0.28183829312644532</v>
      </c>
      <c r="AH84" s="2">
        <f>UseReverse*CHOOSE(Preamp_DataType,PreampRevRatio,'7227'!H83,'7227'!H83,'7227'!H83,Z84,0)</f>
        <v>0</v>
      </c>
      <c r="AI84" s="2">
        <f>CHOOSE(Preamp_DataType,sf_PreampP1dB,'7227'!I83,'7227'!I83,'7227'!I83,AA84,0)</f>
        <v>5</v>
      </c>
      <c r="AJ84" s="3">
        <f>10*LOG10((NseMeas!J83/NseMeas!BW)*P1dbBWghz*1000000000)</f>
        <v>-28.652597449359142</v>
      </c>
      <c r="AK84" s="2" t="b">
        <f t="shared" si="35"/>
        <v>0</v>
      </c>
    </row>
    <row r="85" spans="1:37">
      <c r="A85" s="11">
        <v>0</v>
      </c>
      <c r="B85" s="11" t="s">
        <v>0</v>
      </c>
      <c r="C85" s="11">
        <v>0</v>
      </c>
      <c r="D85" s="11">
        <v>0</v>
      </c>
      <c r="E85" s="11">
        <v>0</v>
      </c>
      <c r="F85" s="11">
        <v>0</v>
      </c>
      <c r="G85" s="11">
        <v>0</v>
      </c>
      <c r="H85" s="11">
        <v>0</v>
      </c>
      <c r="I85" s="2">
        <f t="shared" si="27"/>
        <v>1.0000000000000001E-9</v>
      </c>
      <c r="J85" s="2">
        <f t="shared" si="28"/>
        <v>1000</v>
      </c>
      <c r="K85" s="2">
        <f t="shared" si="30"/>
        <v>970</v>
      </c>
      <c r="L85" s="2">
        <f t="shared" si="31"/>
        <v>0</v>
      </c>
      <c r="Q85" s="2">
        <f t="shared" si="32"/>
        <v>0</v>
      </c>
      <c r="R85" s="2">
        <f t="shared" si="33"/>
        <v>0</v>
      </c>
      <c r="T85" s="2">
        <f t="shared" si="36"/>
        <v>80</v>
      </c>
      <c r="U85" s="2">
        <f t="shared" si="34"/>
        <v>26.5001</v>
      </c>
      <c r="V85" s="2">
        <v>28.45</v>
      </c>
      <c r="W85" s="2">
        <v>5.36</v>
      </c>
      <c r="X85" s="2">
        <v>0.14000000000000001</v>
      </c>
      <c r="Y85" s="2">
        <v>0.06</v>
      </c>
      <c r="Z85" s="2">
        <v>0.15</v>
      </c>
      <c r="AA85" s="2">
        <v>10</v>
      </c>
      <c r="AC85" s="2">
        <f t="shared" si="29"/>
        <v>26.5001</v>
      </c>
      <c r="AD85" s="2">
        <f>CHOOSE(Preamp_DataType,SF_PreampGain,'7227'!B84,'7227'!B84,'7227'!B84,V85,0)</f>
        <v>22.990000260000002</v>
      </c>
      <c r="AE85" s="2">
        <f>CHOOSE(Preamp_DataType,SF_PreampNF,'7227'!E84,'7227'!E84,'7227'!E84,W85,0)</f>
        <v>5</v>
      </c>
      <c r="AF85" s="2">
        <f>CHOOSE(Preamp_DataType,SF_PreampGamIn,10^('7227'!F84/20),10^('7227'!F84/20),10^('7227'!F84/20),X85,0)</f>
        <v>0.3981071705534972</v>
      </c>
      <c r="AG85" s="2">
        <f>CHOOSE(Preamp_DataType,SF_PreampGamOut,10^('7227'!G84/20),10^('7227'!G84/20),10^('7227'!G84/20),Y85,0)</f>
        <v>0.28183829312644532</v>
      </c>
      <c r="AH85" s="2">
        <f>UseReverse*CHOOSE(Preamp_DataType,PreampRevRatio,'7227'!H84,'7227'!H84,'7227'!H84,Z85,0)</f>
        <v>0</v>
      </c>
      <c r="AI85" s="2">
        <f>CHOOSE(Preamp_DataType,sf_PreampP1dB,'7227'!I84,'7227'!I84,'7227'!I84,AA85,0)</f>
        <v>5</v>
      </c>
      <c r="AJ85" s="3">
        <f>10*LOG10((NseMeas!J84/NseMeas!BW)*P1dbBWghz*1000000000)</f>
        <v>-28.652597449359142</v>
      </c>
      <c r="AK85" s="2" t="b">
        <f t="shared" si="35"/>
        <v>0</v>
      </c>
    </row>
    <row r="86" spans="1:37">
      <c r="A86" s="11">
        <v>0</v>
      </c>
      <c r="B86" s="11" t="s">
        <v>0</v>
      </c>
      <c r="C86" s="11">
        <v>0</v>
      </c>
      <c r="D86" s="11">
        <v>0</v>
      </c>
      <c r="E86" s="11">
        <v>0</v>
      </c>
      <c r="F86" s="11">
        <v>0</v>
      </c>
      <c r="G86" s="11">
        <v>0</v>
      </c>
      <c r="H86" s="11">
        <v>0</v>
      </c>
      <c r="I86" s="2">
        <f t="shared" si="27"/>
        <v>1.0000000000000001E-9</v>
      </c>
      <c r="J86" s="2">
        <f t="shared" si="28"/>
        <v>1000</v>
      </c>
      <c r="K86" s="2">
        <f t="shared" si="30"/>
        <v>970</v>
      </c>
      <c r="L86" s="2">
        <f t="shared" si="31"/>
        <v>0</v>
      </c>
      <c r="Q86" s="2">
        <f t="shared" si="32"/>
        <v>0</v>
      </c>
      <c r="R86" s="2">
        <f t="shared" si="33"/>
        <v>0</v>
      </c>
      <c r="T86" s="2">
        <f t="shared" si="36"/>
        <v>81</v>
      </c>
      <c r="U86" s="2">
        <f t="shared" si="34"/>
        <v>26.5001</v>
      </c>
      <c r="V86" s="2">
        <v>28.45</v>
      </c>
      <c r="W86" s="2">
        <v>5.36</v>
      </c>
      <c r="X86" s="2">
        <v>0.14000000000000001</v>
      </c>
      <c r="Y86" s="2">
        <v>0.06</v>
      </c>
      <c r="Z86" s="2">
        <v>0.15</v>
      </c>
      <c r="AA86" s="2">
        <v>10</v>
      </c>
      <c r="AC86" s="2">
        <f t="shared" si="29"/>
        <v>26.5001</v>
      </c>
      <c r="AD86" s="2">
        <f>CHOOSE(Preamp_DataType,SF_PreampGain,'7227'!B85,'7227'!B85,'7227'!B85,V86,0)</f>
        <v>22.990000260000002</v>
      </c>
      <c r="AE86" s="2">
        <f>CHOOSE(Preamp_DataType,SF_PreampNF,'7227'!E85,'7227'!E85,'7227'!E85,W86,0)</f>
        <v>5</v>
      </c>
      <c r="AF86" s="2">
        <f>CHOOSE(Preamp_DataType,SF_PreampGamIn,10^('7227'!F85/20),10^('7227'!F85/20),10^('7227'!F85/20),X86,0)</f>
        <v>0.3981071705534972</v>
      </c>
      <c r="AG86" s="2">
        <f>CHOOSE(Preamp_DataType,SF_PreampGamOut,10^('7227'!G85/20),10^('7227'!G85/20),10^('7227'!G85/20),Y86,0)</f>
        <v>0.28183829312644532</v>
      </c>
      <c r="AH86" s="2">
        <f>UseReverse*CHOOSE(Preamp_DataType,PreampRevRatio,'7227'!H85,'7227'!H85,'7227'!H85,Z86,0)</f>
        <v>0</v>
      </c>
      <c r="AI86" s="2">
        <f>CHOOSE(Preamp_DataType,sf_PreampP1dB,'7227'!I85,'7227'!I85,'7227'!I85,AA86,0)</f>
        <v>5</v>
      </c>
      <c r="AJ86" s="3">
        <f>10*LOG10((NseMeas!J85/NseMeas!BW)*P1dbBWghz*1000000000)</f>
        <v>-28.652597449359142</v>
      </c>
      <c r="AK86" s="2" t="b">
        <f t="shared" si="35"/>
        <v>0</v>
      </c>
    </row>
    <row r="87" spans="1:37">
      <c r="A87" s="11">
        <v>0</v>
      </c>
      <c r="B87" s="11" t="s">
        <v>0</v>
      </c>
      <c r="C87" s="11">
        <v>0</v>
      </c>
      <c r="D87" s="11">
        <v>0</v>
      </c>
      <c r="E87" s="11">
        <v>0</v>
      </c>
      <c r="F87" s="11">
        <v>0</v>
      </c>
      <c r="G87" s="11">
        <v>0</v>
      </c>
      <c r="H87" s="11">
        <v>0</v>
      </c>
      <c r="I87" s="2">
        <f t="shared" si="27"/>
        <v>1.0000000000000001E-9</v>
      </c>
      <c r="J87" s="2">
        <f t="shared" si="28"/>
        <v>1000</v>
      </c>
      <c r="K87" s="2">
        <f t="shared" si="30"/>
        <v>970</v>
      </c>
      <c r="L87" s="2">
        <f t="shared" si="31"/>
        <v>0</v>
      </c>
      <c r="Q87" s="2">
        <f t="shared" si="32"/>
        <v>0</v>
      </c>
      <c r="R87" s="2">
        <f t="shared" si="33"/>
        <v>0</v>
      </c>
      <c r="T87" s="2">
        <f t="shared" si="36"/>
        <v>82</v>
      </c>
      <c r="U87" s="2">
        <f t="shared" si="34"/>
        <v>26.5001</v>
      </c>
      <c r="V87" s="2">
        <v>28.45</v>
      </c>
      <c r="W87" s="2">
        <v>5.36</v>
      </c>
      <c r="X87" s="2">
        <v>0.14000000000000001</v>
      </c>
      <c r="Y87" s="2">
        <v>0.06</v>
      </c>
      <c r="Z87" s="2">
        <v>0.15</v>
      </c>
      <c r="AA87" s="2">
        <v>10</v>
      </c>
      <c r="AC87" s="2">
        <f t="shared" si="29"/>
        <v>26.5001</v>
      </c>
      <c r="AD87" s="2">
        <f>CHOOSE(Preamp_DataType,SF_PreampGain,'7227'!B86,'7227'!B86,'7227'!B86,V87,0)</f>
        <v>22.990000260000002</v>
      </c>
      <c r="AE87" s="2">
        <f>CHOOSE(Preamp_DataType,SF_PreampNF,'7227'!E86,'7227'!E86,'7227'!E86,W87,0)</f>
        <v>5</v>
      </c>
      <c r="AF87" s="2">
        <f>CHOOSE(Preamp_DataType,SF_PreampGamIn,10^('7227'!F86/20),10^('7227'!F86/20),10^('7227'!F86/20),X87,0)</f>
        <v>0.3981071705534972</v>
      </c>
      <c r="AG87" s="2">
        <f>CHOOSE(Preamp_DataType,SF_PreampGamOut,10^('7227'!G86/20),10^('7227'!G86/20),10^('7227'!G86/20),Y87,0)</f>
        <v>0.28183829312644532</v>
      </c>
      <c r="AH87" s="2">
        <f>UseReverse*CHOOSE(Preamp_DataType,PreampRevRatio,'7227'!H86,'7227'!H86,'7227'!H86,Z87,0)</f>
        <v>0</v>
      </c>
      <c r="AI87" s="2">
        <f>CHOOSE(Preamp_DataType,sf_PreampP1dB,'7227'!I86,'7227'!I86,'7227'!I86,AA87,0)</f>
        <v>5</v>
      </c>
      <c r="AJ87" s="3">
        <f>10*LOG10((NseMeas!J86/NseMeas!BW)*P1dbBWghz*1000000000)</f>
        <v>-28.652597449359142</v>
      </c>
      <c r="AK87" s="2" t="b">
        <f t="shared" si="35"/>
        <v>0</v>
      </c>
    </row>
    <row r="88" spans="1:37">
      <c r="A88" s="11">
        <v>0</v>
      </c>
      <c r="B88" s="11" t="s">
        <v>0</v>
      </c>
      <c r="C88" s="11">
        <v>0</v>
      </c>
      <c r="D88" s="11">
        <v>0</v>
      </c>
      <c r="E88" s="11">
        <v>0</v>
      </c>
      <c r="F88" s="11">
        <v>0</v>
      </c>
      <c r="G88" s="11">
        <v>0</v>
      </c>
      <c r="H88" s="11">
        <v>0</v>
      </c>
      <c r="I88" s="2">
        <f t="shared" si="27"/>
        <v>1.0000000000000001E-9</v>
      </c>
      <c r="J88" s="2">
        <f t="shared" si="28"/>
        <v>1000</v>
      </c>
      <c r="K88" s="2">
        <f t="shared" si="30"/>
        <v>970</v>
      </c>
      <c r="L88" s="2">
        <f t="shared" si="31"/>
        <v>0</v>
      </c>
      <c r="Q88" s="2">
        <f t="shared" si="32"/>
        <v>0</v>
      </c>
      <c r="R88" s="2">
        <f t="shared" si="33"/>
        <v>0</v>
      </c>
      <c r="T88" s="2">
        <f t="shared" si="36"/>
        <v>83</v>
      </c>
      <c r="U88" s="2">
        <f t="shared" si="34"/>
        <v>26.5001</v>
      </c>
      <c r="V88" s="2">
        <v>28.45</v>
      </c>
      <c r="W88" s="2">
        <v>5.36</v>
      </c>
      <c r="X88" s="2">
        <v>0.14000000000000001</v>
      </c>
      <c r="Y88" s="2">
        <v>0.06</v>
      </c>
      <c r="Z88" s="2">
        <v>0.15</v>
      </c>
      <c r="AA88" s="2">
        <v>10</v>
      </c>
      <c r="AC88" s="2">
        <f t="shared" si="29"/>
        <v>26.5001</v>
      </c>
      <c r="AD88" s="2">
        <f>CHOOSE(Preamp_DataType,SF_PreampGain,'7227'!B87,'7227'!B87,'7227'!B87,V88,0)</f>
        <v>22.990000260000002</v>
      </c>
      <c r="AE88" s="2">
        <f>CHOOSE(Preamp_DataType,SF_PreampNF,'7227'!E87,'7227'!E87,'7227'!E87,W88,0)</f>
        <v>5</v>
      </c>
      <c r="AF88" s="2">
        <f>CHOOSE(Preamp_DataType,SF_PreampGamIn,10^('7227'!F87/20),10^('7227'!F87/20),10^('7227'!F87/20),X88,0)</f>
        <v>0.3981071705534972</v>
      </c>
      <c r="AG88" s="2">
        <f>CHOOSE(Preamp_DataType,SF_PreampGamOut,10^('7227'!G87/20),10^('7227'!G87/20),10^('7227'!G87/20),Y88,0)</f>
        <v>0.28183829312644532</v>
      </c>
      <c r="AH88" s="2">
        <f>UseReverse*CHOOSE(Preamp_DataType,PreampRevRatio,'7227'!H87,'7227'!H87,'7227'!H87,Z88,0)</f>
        <v>0</v>
      </c>
      <c r="AI88" s="2">
        <f>CHOOSE(Preamp_DataType,sf_PreampP1dB,'7227'!I87,'7227'!I87,'7227'!I87,AA88,0)</f>
        <v>5</v>
      </c>
      <c r="AJ88" s="3">
        <f>10*LOG10((NseMeas!J87/NseMeas!BW)*P1dbBWghz*1000000000)</f>
        <v>-28.652597449359142</v>
      </c>
      <c r="AK88" s="2" t="b">
        <f t="shared" si="35"/>
        <v>0</v>
      </c>
    </row>
    <row r="89" spans="1:37">
      <c r="A89" s="11">
        <v>0</v>
      </c>
      <c r="B89" s="11" t="s">
        <v>0</v>
      </c>
      <c r="C89" s="11">
        <v>0</v>
      </c>
      <c r="D89" s="11">
        <v>0</v>
      </c>
      <c r="E89" s="11">
        <v>0</v>
      </c>
      <c r="F89" s="11">
        <v>0</v>
      </c>
      <c r="G89" s="11">
        <v>0</v>
      </c>
      <c r="H89" s="11">
        <v>0</v>
      </c>
      <c r="I89" s="2">
        <f t="shared" si="27"/>
        <v>1.0000000000000001E-9</v>
      </c>
      <c r="J89" s="2">
        <f t="shared" si="28"/>
        <v>1000</v>
      </c>
      <c r="K89" s="2">
        <f t="shared" si="30"/>
        <v>970</v>
      </c>
      <c r="L89" s="2">
        <f t="shared" si="31"/>
        <v>0</v>
      </c>
      <c r="Q89" s="2">
        <f t="shared" si="32"/>
        <v>0</v>
      </c>
      <c r="R89" s="2">
        <f t="shared" si="33"/>
        <v>0</v>
      </c>
      <c r="T89" s="2">
        <f t="shared" si="36"/>
        <v>84</v>
      </c>
      <c r="U89" s="2">
        <f t="shared" si="34"/>
        <v>26.5001</v>
      </c>
      <c r="V89" s="2">
        <v>28.45</v>
      </c>
      <c r="W89" s="2">
        <v>5.36</v>
      </c>
      <c r="X89" s="2">
        <v>0.14000000000000001</v>
      </c>
      <c r="Y89" s="2">
        <v>0.06</v>
      </c>
      <c r="Z89" s="2">
        <v>0.15</v>
      </c>
      <c r="AA89" s="2">
        <v>10</v>
      </c>
      <c r="AC89" s="2">
        <f t="shared" si="29"/>
        <v>26.5001</v>
      </c>
      <c r="AD89" s="2">
        <f>CHOOSE(Preamp_DataType,SF_PreampGain,'7227'!B88,'7227'!B88,'7227'!B88,V89,0)</f>
        <v>22.990000260000002</v>
      </c>
      <c r="AE89" s="2">
        <f>CHOOSE(Preamp_DataType,SF_PreampNF,'7227'!E88,'7227'!E88,'7227'!E88,W89,0)</f>
        <v>5</v>
      </c>
      <c r="AF89" s="2">
        <f>CHOOSE(Preamp_DataType,SF_PreampGamIn,10^('7227'!F88/20),10^('7227'!F88/20),10^('7227'!F88/20),X89,0)</f>
        <v>0.3981071705534972</v>
      </c>
      <c r="AG89" s="2">
        <f>CHOOSE(Preamp_DataType,SF_PreampGamOut,10^('7227'!G88/20),10^('7227'!G88/20),10^('7227'!G88/20),Y89,0)</f>
        <v>0.28183829312644532</v>
      </c>
      <c r="AH89" s="2">
        <f>UseReverse*CHOOSE(Preamp_DataType,PreampRevRatio,'7227'!H88,'7227'!H88,'7227'!H88,Z89,0)</f>
        <v>0</v>
      </c>
      <c r="AI89" s="2">
        <f>CHOOSE(Preamp_DataType,sf_PreampP1dB,'7227'!I88,'7227'!I88,'7227'!I88,AA89,0)</f>
        <v>5</v>
      </c>
      <c r="AJ89" s="3">
        <f>10*LOG10((NseMeas!J88/NseMeas!BW)*P1dbBWghz*1000000000)</f>
        <v>-28.652597449359142</v>
      </c>
      <c r="AK89" s="2" t="b">
        <f t="shared" si="35"/>
        <v>0</v>
      </c>
    </row>
    <row r="90" spans="1:37">
      <c r="A90" s="11">
        <v>0</v>
      </c>
      <c r="B90" s="11" t="s">
        <v>0</v>
      </c>
      <c r="C90" s="11">
        <v>0</v>
      </c>
      <c r="D90" s="11">
        <v>0</v>
      </c>
      <c r="E90" s="11">
        <v>0</v>
      </c>
      <c r="F90" s="11">
        <v>0</v>
      </c>
      <c r="G90" s="11">
        <v>0</v>
      </c>
      <c r="H90" s="11">
        <v>0</v>
      </c>
      <c r="I90" s="2">
        <f t="shared" si="27"/>
        <v>1.0000000000000001E-9</v>
      </c>
      <c r="J90" s="2">
        <f t="shared" si="28"/>
        <v>1000</v>
      </c>
      <c r="K90" s="2">
        <f t="shared" si="30"/>
        <v>970</v>
      </c>
      <c r="L90" s="2">
        <f t="shared" si="31"/>
        <v>0</v>
      </c>
      <c r="Q90" s="2">
        <f t="shared" si="32"/>
        <v>0</v>
      </c>
      <c r="R90" s="2">
        <f t="shared" si="33"/>
        <v>0</v>
      </c>
      <c r="T90" s="2">
        <f t="shared" si="36"/>
        <v>85</v>
      </c>
      <c r="U90" s="2">
        <f t="shared" si="34"/>
        <v>26.5001</v>
      </c>
      <c r="V90" s="2">
        <v>28.45</v>
      </c>
      <c r="W90" s="2">
        <v>5.36</v>
      </c>
      <c r="X90" s="2">
        <v>0.14000000000000001</v>
      </c>
      <c r="Y90" s="2">
        <v>0.06</v>
      </c>
      <c r="Z90" s="2">
        <v>0.15</v>
      </c>
      <c r="AA90" s="2">
        <v>10</v>
      </c>
      <c r="AC90" s="2">
        <f t="shared" si="29"/>
        <v>26.5001</v>
      </c>
      <c r="AD90" s="2">
        <f>CHOOSE(Preamp_DataType,SF_PreampGain,'7227'!B89,'7227'!B89,'7227'!B89,V90,0)</f>
        <v>22.990000260000002</v>
      </c>
      <c r="AE90" s="2">
        <f>CHOOSE(Preamp_DataType,SF_PreampNF,'7227'!E89,'7227'!E89,'7227'!E89,W90,0)</f>
        <v>5</v>
      </c>
      <c r="AF90" s="2">
        <f>CHOOSE(Preamp_DataType,SF_PreampGamIn,10^('7227'!F89/20),10^('7227'!F89/20),10^('7227'!F89/20),X90,0)</f>
        <v>0.3981071705534972</v>
      </c>
      <c r="AG90" s="2">
        <f>CHOOSE(Preamp_DataType,SF_PreampGamOut,10^('7227'!G89/20),10^('7227'!G89/20),10^('7227'!G89/20),Y90,0)</f>
        <v>0.28183829312644532</v>
      </c>
      <c r="AH90" s="2">
        <f>UseReverse*CHOOSE(Preamp_DataType,PreampRevRatio,'7227'!H89,'7227'!H89,'7227'!H89,Z90,0)</f>
        <v>0</v>
      </c>
      <c r="AI90" s="2">
        <f>CHOOSE(Preamp_DataType,sf_PreampP1dB,'7227'!I89,'7227'!I89,'7227'!I89,AA90,0)</f>
        <v>5</v>
      </c>
      <c r="AJ90" s="3">
        <f>10*LOG10((NseMeas!J89/NseMeas!BW)*P1dbBWghz*1000000000)</f>
        <v>-28.652597449359142</v>
      </c>
      <c r="AK90" s="2" t="b">
        <f t="shared" si="35"/>
        <v>0</v>
      </c>
    </row>
    <row r="91" spans="1:37">
      <c r="A91" s="11">
        <v>0</v>
      </c>
      <c r="B91" s="11" t="s">
        <v>0</v>
      </c>
      <c r="C91" s="11">
        <v>0</v>
      </c>
      <c r="D91" s="11">
        <v>0</v>
      </c>
      <c r="E91" s="11">
        <v>0</v>
      </c>
      <c r="F91" s="11">
        <v>0</v>
      </c>
      <c r="G91" s="11">
        <v>0</v>
      </c>
      <c r="H91" s="11">
        <v>0</v>
      </c>
      <c r="I91" s="2">
        <f t="shared" si="27"/>
        <v>1.0000000000000001E-9</v>
      </c>
      <c r="J91" s="2">
        <f t="shared" si="28"/>
        <v>1000</v>
      </c>
      <c r="K91" s="2">
        <f t="shared" si="30"/>
        <v>970</v>
      </c>
      <c r="L91" s="2">
        <f t="shared" si="31"/>
        <v>0</v>
      </c>
      <c r="Q91" s="2">
        <f t="shared" si="32"/>
        <v>0</v>
      </c>
      <c r="R91" s="2">
        <f t="shared" si="33"/>
        <v>0</v>
      </c>
      <c r="T91" s="2">
        <f t="shared" si="36"/>
        <v>86</v>
      </c>
      <c r="U91" s="2">
        <f t="shared" si="34"/>
        <v>26.5001</v>
      </c>
      <c r="V91" s="2">
        <v>28.45</v>
      </c>
      <c r="W91" s="2">
        <v>5.36</v>
      </c>
      <c r="X91" s="2">
        <v>0.14000000000000001</v>
      </c>
      <c r="Y91" s="2">
        <v>0.06</v>
      </c>
      <c r="Z91" s="2">
        <v>0.15</v>
      </c>
      <c r="AA91" s="2">
        <v>10</v>
      </c>
      <c r="AC91" s="2">
        <f t="shared" si="29"/>
        <v>26.5001</v>
      </c>
      <c r="AD91" s="2">
        <f>CHOOSE(Preamp_DataType,SF_PreampGain,'7227'!B90,'7227'!B90,'7227'!B90,V91,0)</f>
        <v>22.990000260000002</v>
      </c>
      <c r="AE91" s="2">
        <f>CHOOSE(Preamp_DataType,SF_PreampNF,'7227'!E90,'7227'!E90,'7227'!E90,W91,0)</f>
        <v>5</v>
      </c>
      <c r="AF91" s="2">
        <f>CHOOSE(Preamp_DataType,SF_PreampGamIn,10^('7227'!F90/20),10^('7227'!F90/20),10^('7227'!F90/20),X91,0)</f>
        <v>0.3981071705534972</v>
      </c>
      <c r="AG91" s="2">
        <f>CHOOSE(Preamp_DataType,SF_PreampGamOut,10^('7227'!G90/20),10^('7227'!G90/20),10^('7227'!G90/20),Y91,0)</f>
        <v>0.28183829312644532</v>
      </c>
      <c r="AH91" s="2">
        <f>UseReverse*CHOOSE(Preamp_DataType,PreampRevRatio,'7227'!H90,'7227'!H90,'7227'!H90,Z91,0)</f>
        <v>0</v>
      </c>
      <c r="AI91" s="2">
        <f>CHOOSE(Preamp_DataType,sf_PreampP1dB,'7227'!I90,'7227'!I90,'7227'!I90,AA91,0)</f>
        <v>5</v>
      </c>
      <c r="AJ91" s="3">
        <f>10*LOG10((NseMeas!J90/NseMeas!BW)*P1dbBWghz*1000000000)</f>
        <v>-28.652597449359142</v>
      </c>
      <c r="AK91" s="2" t="b">
        <f t="shared" si="35"/>
        <v>0</v>
      </c>
    </row>
    <row r="92" spans="1:37">
      <c r="A92" s="11">
        <v>0</v>
      </c>
      <c r="B92" s="11" t="s">
        <v>0</v>
      </c>
      <c r="C92" s="11">
        <v>0</v>
      </c>
      <c r="D92" s="11">
        <v>0</v>
      </c>
      <c r="E92" s="11">
        <v>0</v>
      </c>
      <c r="F92" s="11">
        <v>0</v>
      </c>
      <c r="G92" s="11">
        <v>0</v>
      </c>
      <c r="H92" s="11">
        <v>0</v>
      </c>
      <c r="I92" s="2">
        <f t="shared" si="27"/>
        <v>1.0000000000000001E-9</v>
      </c>
      <c r="J92" s="2">
        <f t="shared" si="28"/>
        <v>1000</v>
      </c>
      <c r="K92" s="2">
        <f t="shared" si="30"/>
        <v>970</v>
      </c>
      <c r="L92" s="2">
        <f t="shared" si="31"/>
        <v>0</v>
      </c>
      <c r="Q92" s="2">
        <f t="shared" si="32"/>
        <v>0</v>
      </c>
      <c r="R92" s="2">
        <f t="shared" si="33"/>
        <v>0</v>
      </c>
      <c r="T92" s="2">
        <f t="shared" si="36"/>
        <v>87</v>
      </c>
      <c r="U92" s="2">
        <f t="shared" si="34"/>
        <v>26.5001</v>
      </c>
      <c r="V92" s="2">
        <v>28.45</v>
      </c>
      <c r="W92" s="2">
        <v>5.36</v>
      </c>
      <c r="X92" s="2">
        <v>0.14000000000000001</v>
      </c>
      <c r="Y92" s="2">
        <v>0.06</v>
      </c>
      <c r="Z92" s="2">
        <v>0.15</v>
      </c>
      <c r="AA92" s="2">
        <v>10</v>
      </c>
      <c r="AC92" s="2">
        <f t="shared" si="29"/>
        <v>26.5001</v>
      </c>
      <c r="AD92" s="2">
        <f>CHOOSE(Preamp_DataType,SF_PreampGain,'7227'!B91,'7227'!B91,'7227'!B91,V92,0)</f>
        <v>22.990000260000002</v>
      </c>
      <c r="AE92" s="2">
        <f>CHOOSE(Preamp_DataType,SF_PreampNF,'7227'!E91,'7227'!E91,'7227'!E91,W92,0)</f>
        <v>5</v>
      </c>
      <c r="AF92" s="2">
        <f>CHOOSE(Preamp_DataType,SF_PreampGamIn,10^('7227'!F91/20),10^('7227'!F91/20),10^('7227'!F91/20),X92,0)</f>
        <v>0.3981071705534972</v>
      </c>
      <c r="AG92" s="2">
        <f>CHOOSE(Preamp_DataType,SF_PreampGamOut,10^('7227'!G91/20),10^('7227'!G91/20),10^('7227'!G91/20),Y92,0)</f>
        <v>0.28183829312644532</v>
      </c>
      <c r="AH92" s="2">
        <f>UseReverse*CHOOSE(Preamp_DataType,PreampRevRatio,'7227'!H91,'7227'!H91,'7227'!H91,Z92,0)</f>
        <v>0</v>
      </c>
      <c r="AI92" s="2">
        <f>CHOOSE(Preamp_DataType,sf_PreampP1dB,'7227'!I91,'7227'!I91,'7227'!I91,AA92,0)</f>
        <v>5</v>
      </c>
      <c r="AJ92" s="3">
        <f>10*LOG10((NseMeas!J91/NseMeas!BW)*P1dbBWghz*1000000000)</f>
        <v>-28.652597449359142</v>
      </c>
      <c r="AK92" s="2" t="b">
        <f t="shared" si="35"/>
        <v>0</v>
      </c>
    </row>
    <row r="93" spans="1:37">
      <c r="A93" s="11">
        <v>0</v>
      </c>
      <c r="B93" s="11" t="s">
        <v>0</v>
      </c>
      <c r="C93" s="11">
        <v>0</v>
      </c>
      <c r="D93" s="11">
        <v>0</v>
      </c>
      <c r="E93" s="11">
        <v>0</v>
      </c>
      <c r="F93" s="11">
        <v>0</v>
      </c>
      <c r="G93" s="11">
        <v>0</v>
      </c>
      <c r="H93" s="11">
        <v>0</v>
      </c>
      <c r="I93" s="2">
        <f t="shared" si="27"/>
        <v>1.0000000000000001E-9</v>
      </c>
      <c r="J93" s="2">
        <f t="shared" si="28"/>
        <v>1000</v>
      </c>
      <c r="K93" s="2">
        <f t="shared" si="30"/>
        <v>970</v>
      </c>
      <c r="L93" s="2">
        <f t="shared" si="31"/>
        <v>0</v>
      </c>
      <c r="Q93" s="2">
        <f t="shared" si="32"/>
        <v>0</v>
      </c>
      <c r="R93" s="2">
        <f t="shared" si="33"/>
        <v>0</v>
      </c>
      <c r="T93" s="2">
        <f t="shared" si="36"/>
        <v>88</v>
      </c>
      <c r="U93" s="2">
        <f t="shared" si="34"/>
        <v>26.5001</v>
      </c>
      <c r="V93" s="2">
        <v>28.45</v>
      </c>
      <c r="W93" s="2">
        <v>5.36</v>
      </c>
      <c r="X93" s="2">
        <v>0.14000000000000001</v>
      </c>
      <c r="Y93" s="2">
        <v>0.06</v>
      </c>
      <c r="Z93" s="2">
        <v>0.15</v>
      </c>
      <c r="AA93" s="2">
        <v>10</v>
      </c>
      <c r="AC93" s="2">
        <f t="shared" si="29"/>
        <v>26.5001</v>
      </c>
      <c r="AD93" s="2">
        <f>CHOOSE(Preamp_DataType,SF_PreampGain,'7227'!B92,'7227'!B92,'7227'!B92,V93,0)</f>
        <v>22.990000260000002</v>
      </c>
      <c r="AE93" s="2">
        <f>CHOOSE(Preamp_DataType,SF_PreampNF,'7227'!E92,'7227'!E92,'7227'!E92,W93,0)</f>
        <v>5</v>
      </c>
      <c r="AF93" s="2">
        <f>CHOOSE(Preamp_DataType,SF_PreampGamIn,10^('7227'!F92/20),10^('7227'!F92/20),10^('7227'!F92/20),X93,0)</f>
        <v>0.3981071705534972</v>
      </c>
      <c r="AG93" s="2">
        <f>CHOOSE(Preamp_DataType,SF_PreampGamOut,10^('7227'!G92/20),10^('7227'!G92/20),10^('7227'!G92/20),Y93,0)</f>
        <v>0.28183829312644532</v>
      </c>
      <c r="AH93" s="2">
        <f>UseReverse*CHOOSE(Preamp_DataType,PreampRevRatio,'7227'!H92,'7227'!H92,'7227'!H92,Z93,0)</f>
        <v>0</v>
      </c>
      <c r="AI93" s="2">
        <f>CHOOSE(Preamp_DataType,sf_PreampP1dB,'7227'!I92,'7227'!I92,'7227'!I92,AA93,0)</f>
        <v>5</v>
      </c>
      <c r="AJ93" s="3">
        <f>10*LOG10((NseMeas!J92/NseMeas!BW)*P1dbBWghz*1000000000)</f>
        <v>-28.652597449359142</v>
      </c>
      <c r="AK93" s="2" t="b">
        <f t="shared" si="35"/>
        <v>0</v>
      </c>
    </row>
    <row r="94" spans="1:37">
      <c r="A94" s="11">
        <v>0</v>
      </c>
      <c r="B94" s="11" t="s">
        <v>0</v>
      </c>
      <c r="C94" s="11">
        <v>0</v>
      </c>
      <c r="D94" s="11">
        <v>0</v>
      </c>
      <c r="E94" s="11">
        <v>0</v>
      </c>
      <c r="F94" s="11">
        <v>0</v>
      </c>
      <c r="G94" s="11">
        <v>0</v>
      </c>
      <c r="H94" s="11">
        <v>0</v>
      </c>
      <c r="I94" s="2">
        <f t="shared" si="27"/>
        <v>1.0000000000000001E-9</v>
      </c>
      <c r="J94" s="2">
        <f t="shared" si="28"/>
        <v>1000</v>
      </c>
      <c r="K94" s="2">
        <f t="shared" si="30"/>
        <v>970</v>
      </c>
      <c r="L94" s="2">
        <f t="shared" si="31"/>
        <v>0</v>
      </c>
      <c r="Q94" s="2">
        <f t="shared" si="32"/>
        <v>0</v>
      </c>
      <c r="R94" s="2">
        <f t="shared" si="33"/>
        <v>0</v>
      </c>
      <c r="T94" s="2">
        <f t="shared" si="36"/>
        <v>89</v>
      </c>
      <c r="U94" s="2">
        <f t="shared" si="34"/>
        <v>26.5001</v>
      </c>
      <c r="V94" s="2">
        <v>28.45</v>
      </c>
      <c r="W94" s="2">
        <v>5.36</v>
      </c>
      <c r="X94" s="2">
        <v>0.14000000000000001</v>
      </c>
      <c r="Y94" s="2">
        <v>0.06</v>
      </c>
      <c r="Z94" s="2">
        <v>0.15</v>
      </c>
      <c r="AA94" s="2">
        <v>10</v>
      </c>
      <c r="AC94" s="2">
        <f t="shared" si="29"/>
        <v>26.5001</v>
      </c>
      <c r="AD94" s="2">
        <f>CHOOSE(Preamp_DataType,SF_PreampGain,'7227'!B93,'7227'!B93,'7227'!B93,V94,0)</f>
        <v>22.990000260000002</v>
      </c>
      <c r="AE94" s="2">
        <f>CHOOSE(Preamp_DataType,SF_PreampNF,'7227'!E93,'7227'!E93,'7227'!E93,W94,0)</f>
        <v>5</v>
      </c>
      <c r="AF94" s="2">
        <f>CHOOSE(Preamp_DataType,SF_PreampGamIn,10^('7227'!F93/20),10^('7227'!F93/20),10^('7227'!F93/20),X94,0)</f>
        <v>0.3981071705534972</v>
      </c>
      <c r="AG94" s="2">
        <f>CHOOSE(Preamp_DataType,SF_PreampGamOut,10^('7227'!G93/20),10^('7227'!G93/20),10^('7227'!G93/20),Y94,0)</f>
        <v>0.28183829312644532</v>
      </c>
      <c r="AH94" s="2">
        <f>UseReverse*CHOOSE(Preamp_DataType,PreampRevRatio,'7227'!H93,'7227'!H93,'7227'!H93,Z94,0)</f>
        <v>0</v>
      </c>
      <c r="AI94" s="2">
        <f>CHOOSE(Preamp_DataType,sf_PreampP1dB,'7227'!I93,'7227'!I93,'7227'!I93,AA94,0)</f>
        <v>5</v>
      </c>
      <c r="AJ94" s="3">
        <f>10*LOG10((NseMeas!J93/NseMeas!BW)*P1dbBWghz*1000000000)</f>
        <v>-28.652597449359142</v>
      </c>
      <c r="AK94" s="2" t="b">
        <f t="shared" si="35"/>
        <v>0</v>
      </c>
    </row>
    <row r="95" spans="1:37">
      <c r="A95" s="11">
        <v>0</v>
      </c>
      <c r="B95" s="11" t="s">
        <v>0</v>
      </c>
      <c r="C95" s="11">
        <v>0</v>
      </c>
      <c r="D95" s="11">
        <v>0</v>
      </c>
      <c r="E95" s="11">
        <v>0</v>
      </c>
      <c r="F95" s="11">
        <v>0</v>
      </c>
      <c r="G95" s="11">
        <v>0</v>
      </c>
      <c r="H95" s="11">
        <v>0</v>
      </c>
      <c r="I95" s="2">
        <f t="shared" si="27"/>
        <v>1.0000000000000001E-9</v>
      </c>
      <c r="J95" s="2">
        <f t="shared" si="28"/>
        <v>1000</v>
      </c>
      <c r="K95" s="2">
        <f t="shared" si="30"/>
        <v>970</v>
      </c>
      <c r="L95" s="2">
        <f t="shared" si="31"/>
        <v>0</v>
      </c>
      <c r="Q95" s="2">
        <f t="shared" si="32"/>
        <v>0</v>
      </c>
      <c r="R95" s="2">
        <f t="shared" si="33"/>
        <v>0</v>
      </c>
      <c r="T95" s="2">
        <f t="shared" si="36"/>
        <v>90</v>
      </c>
      <c r="U95" s="2">
        <f t="shared" si="34"/>
        <v>26.5001</v>
      </c>
      <c r="V95" s="2">
        <v>28.45</v>
      </c>
      <c r="W95" s="2">
        <v>5.36</v>
      </c>
      <c r="X95" s="2">
        <v>0.14000000000000001</v>
      </c>
      <c r="Y95" s="2">
        <v>0.06</v>
      </c>
      <c r="Z95" s="2">
        <v>0.15</v>
      </c>
      <c r="AA95" s="2">
        <v>10</v>
      </c>
      <c r="AC95" s="2">
        <f t="shared" si="29"/>
        <v>26.5001</v>
      </c>
      <c r="AD95" s="2">
        <f>CHOOSE(Preamp_DataType,SF_PreampGain,'7227'!B94,'7227'!B94,'7227'!B94,V95,0)</f>
        <v>22.990000260000002</v>
      </c>
      <c r="AE95" s="2">
        <f>CHOOSE(Preamp_DataType,SF_PreampNF,'7227'!E94,'7227'!E94,'7227'!E94,W95,0)</f>
        <v>5</v>
      </c>
      <c r="AF95" s="2">
        <f>CHOOSE(Preamp_DataType,SF_PreampGamIn,10^('7227'!F94/20),10^('7227'!F94/20),10^('7227'!F94/20),X95,0)</f>
        <v>0.3981071705534972</v>
      </c>
      <c r="AG95" s="2">
        <f>CHOOSE(Preamp_DataType,SF_PreampGamOut,10^('7227'!G94/20),10^('7227'!G94/20),10^('7227'!G94/20),Y95,0)</f>
        <v>0.28183829312644532</v>
      </c>
      <c r="AH95" s="2">
        <f>UseReverse*CHOOSE(Preamp_DataType,PreampRevRatio,'7227'!H94,'7227'!H94,'7227'!H94,Z95,0)</f>
        <v>0</v>
      </c>
      <c r="AI95" s="2">
        <f>CHOOSE(Preamp_DataType,sf_PreampP1dB,'7227'!I94,'7227'!I94,'7227'!I94,AA95,0)</f>
        <v>5</v>
      </c>
      <c r="AJ95" s="3">
        <f>10*LOG10((NseMeas!J94/NseMeas!BW)*P1dbBWghz*1000000000)</f>
        <v>-28.652597449359142</v>
      </c>
      <c r="AK95" s="2" t="b">
        <f t="shared" si="35"/>
        <v>0</v>
      </c>
    </row>
    <row r="96" spans="1:37">
      <c r="A96" s="11">
        <v>0</v>
      </c>
      <c r="B96" s="11" t="s">
        <v>0</v>
      </c>
      <c r="C96" s="11">
        <v>0</v>
      </c>
      <c r="D96" s="11">
        <v>0</v>
      </c>
      <c r="E96" s="11">
        <v>0</v>
      </c>
      <c r="F96" s="11">
        <v>0</v>
      </c>
      <c r="G96" s="11">
        <v>0</v>
      </c>
      <c r="H96" s="11">
        <v>0</v>
      </c>
      <c r="I96" s="2">
        <f t="shared" si="27"/>
        <v>1.0000000000000001E-9</v>
      </c>
      <c r="J96" s="2">
        <f t="shared" si="28"/>
        <v>1000</v>
      </c>
      <c r="K96" s="2">
        <f t="shared" si="30"/>
        <v>970</v>
      </c>
      <c r="L96" s="2">
        <f t="shared" si="31"/>
        <v>0</v>
      </c>
      <c r="Q96" s="2">
        <f t="shared" si="32"/>
        <v>0</v>
      </c>
      <c r="R96" s="2">
        <f t="shared" si="33"/>
        <v>0</v>
      </c>
      <c r="T96" s="2">
        <f t="shared" si="36"/>
        <v>91</v>
      </c>
      <c r="U96" s="2">
        <f t="shared" si="34"/>
        <v>26.5001</v>
      </c>
      <c r="V96" s="2">
        <v>28.45</v>
      </c>
      <c r="W96" s="2">
        <v>5.36</v>
      </c>
      <c r="X96" s="2">
        <v>0.14000000000000001</v>
      </c>
      <c r="Y96" s="2">
        <v>0.06</v>
      </c>
      <c r="Z96" s="2">
        <v>0.15</v>
      </c>
      <c r="AA96" s="2">
        <v>10</v>
      </c>
      <c r="AC96" s="2">
        <f t="shared" si="29"/>
        <v>26.5001</v>
      </c>
      <c r="AD96" s="2">
        <f>CHOOSE(Preamp_DataType,SF_PreampGain,'7227'!B95,'7227'!B95,'7227'!B95,V96,0)</f>
        <v>22.990000260000002</v>
      </c>
      <c r="AE96" s="2">
        <f>CHOOSE(Preamp_DataType,SF_PreampNF,'7227'!E95,'7227'!E95,'7227'!E95,W96,0)</f>
        <v>5</v>
      </c>
      <c r="AF96" s="2">
        <f>CHOOSE(Preamp_DataType,SF_PreampGamIn,10^('7227'!F95/20),10^('7227'!F95/20),10^('7227'!F95/20),X96,0)</f>
        <v>0.3981071705534972</v>
      </c>
      <c r="AG96" s="2">
        <f>CHOOSE(Preamp_DataType,SF_PreampGamOut,10^('7227'!G95/20),10^('7227'!G95/20),10^('7227'!G95/20),Y96,0)</f>
        <v>0.28183829312644532</v>
      </c>
      <c r="AH96" s="2">
        <f>UseReverse*CHOOSE(Preamp_DataType,PreampRevRatio,'7227'!H95,'7227'!H95,'7227'!H95,Z96,0)</f>
        <v>0</v>
      </c>
      <c r="AI96" s="2">
        <f>CHOOSE(Preamp_DataType,sf_PreampP1dB,'7227'!I95,'7227'!I95,'7227'!I95,AA96,0)</f>
        <v>5</v>
      </c>
      <c r="AJ96" s="3">
        <f>10*LOG10((NseMeas!J95/NseMeas!BW)*P1dbBWghz*1000000000)</f>
        <v>-28.652597449359142</v>
      </c>
      <c r="AK96" s="2" t="b">
        <f t="shared" si="35"/>
        <v>0</v>
      </c>
    </row>
    <row r="97" spans="1:37">
      <c r="A97" s="11">
        <v>0</v>
      </c>
      <c r="B97" s="11" t="s">
        <v>0</v>
      </c>
      <c r="C97" s="11">
        <v>0</v>
      </c>
      <c r="D97" s="11">
        <v>0</v>
      </c>
      <c r="E97" s="11">
        <v>0</v>
      </c>
      <c r="F97" s="11">
        <v>0</v>
      </c>
      <c r="G97" s="11">
        <v>0</v>
      </c>
      <c r="H97" s="11">
        <v>0</v>
      </c>
      <c r="I97" s="2">
        <f t="shared" si="27"/>
        <v>1.0000000000000001E-9</v>
      </c>
      <c r="J97" s="2">
        <f t="shared" si="28"/>
        <v>1000</v>
      </c>
      <c r="K97" s="2">
        <f t="shared" si="30"/>
        <v>970</v>
      </c>
      <c r="L97" s="2">
        <f t="shared" si="31"/>
        <v>0</v>
      </c>
      <c r="Q97" s="2">
        <f t="shared" si="32"/>
        <v>0</v>
      </c>
      <c r="R97" s="2">
        <f t="shared" si="33"/>
        <v>0</v>
      </c>
      <c r="T97" s="2">
        <f t="shared" si="36"/>
        <v>92</v>
      </c>
      <c r="U97" s="2">
        <f t="shared" si="34"/>
        <v>26.5001</v>
      </c>
      <c r="V97" s="2">
        <v>28.45</v>
      </c>
      <c r="W97" s="2">
        <v>5.36</v>
      </c>
      <c r="X97" s="2">
        <v>0.14000000000000001</v>
      </c>
      <c r="Y97" s="2">
        <v>0.06</v>
      </c>
      <c r="Z97" s="2">
        <v>0.15</v>
      </c>
      <c r="AA97" s="2">
        <v>10</v>
      </c>
      <c r="AC97" s="2">
        <f t="shared" si="29"/>
        <v>26.5001</v>
      </c>
      <c r="AD97" s="2">
        <f>CHOOSE(Preamp_DataType,SF_PreampGain,'7227'!B96,'7227'!B96,'7227'!B96,V97,0)</f>
        <v>22.990000260000002</v>
      </c>
      <c r="AE97" s="2">
        <f>CHOOSE(Preamp_DataType,SF_PreampNF,'7227'!E96,'7227'!E96,'7227'!E96,W97,0)</f>
        <v>5</v>
      </c>
      <c r="AF97" s="2">
        <f>CHOOSE(Preamp_DataType,SF_PreampGamIn,10^('7227'!F96/20),10^('7227'!F96/20),10^('7227'!F96/20),X97,0)</f>
        <v>0.3981071705534972</v>
      </c>
      <c r="AG97" s="2">
        <f>CHOOSE(Preamp_DataType,SF_PreampGamOut,10^('7227'!G96/20),10^('7227'!G96/20),10^('7227'!G96/20),Y97,0)</f>
        <v>0.28183829312644532</v>
      </c>
      <c r="AH97" s="2">
        <f>UseReverse*CHOOSE(Preamp_DataType,PreampRevRatio,'7227'!H96,'7227'!H96,'7227'!H96,Z97,0)</f>
        <v>0</v>
      </c>
      <c r="AI97" s="2">
        <f>CHOOSE(Preamp_DataType,sf_PreampP1dB,'7227'!I96,'7227'!I96,'7227'!I96,AA97,0)</f>
        <v>5</v>
      </c>
      <c r="AJ97" s="3">
        <f>10*LOG10((NseMeas!J96/NseMeas!BW)*P1dbBWghz*1000000000)</f>
        <v>-28.652597449359142</v>
      </c>
      <c r="AK97" s="2" t="b">
        <f t="shared" si="35"/>
        <v>0</v>
      </c>
    </row>
    <row r="98" spans="1:37">
      <c r="A98" s="11">
        <v>0</v>
      </c>
      <c r="B98" s="11" t="s">
        <v>0</v>
      </c>
      <c r="C98" s="11">
        <v>0</v>
      </c>
      <c r="D98" s="11">
        <v>0</v>
      </c>
      <c r="E98" s="11">
        <v>0</v>
      </c>
      <c r="F98" s="11">
        <v>0</v>
      </c>
      <c r="G98" s="11">
        <v>0</v>
      </c>
      <c r="H98" s="11">
        <v>0</v>
      </c>
      <c r="I98" s="2">
        <f t="shared" si="27"/>
        <v>1.0000000000000001E-9</v>
      </c>
      <c r="J98" s="2">
        <f t="shared" si="28"/>
        <v>1000</v>
      </c>
      <c r="K98" s="2">
        <f t="shared" si="30"/>
        <v>970</v>
      </c>
      <c r="L98" s="2">
        <f t="shared" si="31"/>
        <v>0</v>
      </c>
      <c r="Q98" s="2">
        <f t="shared" si="32"/>
        <v>0</v>
      </c>
      <c r="R98" s="2">
        <f t="shared" si="33"/>
        <v>0</v>
      </c>
      <c r="T98" s="2">
        <f t="shared" si="36"/>
        <v>93</v>
      </c>
      <c r="U98" s="2">
        <f t="shared" si="34"/>
        <v>26.5001</v>
      </c>
      <c r="V98" s="2">
        <v>28.45</v>
      </c>
      <c r="W98" s="2">
        <v>5.36</v>
      </c>
      <c r="X98" s="2">
        <v>0.14000000000000001</v>
      </c>
      <c r="Y98" s="2">
        <v>0.06</v>
      </c>
      <c r="Z98" s="2">
        <v>0.15</v>
      </c>
      <c r="AA98" s="2">
        <v>10</v>
      </c>
      <c r="AC98" s="2">
        <f t="shared" si="29"/>
        <v>26.5001</v>
      </c>
      <c r="AD98" s="2">
        <f>CHOOSE(Preamp_DataType,SF_PreampGain,'7227'!B97,'7227'!B97,'7227'!B97,V98,0)</f>
        <v>22.990000260000002</v>
      </c>
      <c r="AE98" s="2">
        <f>CHOOSE(Preamp_DataType,SF_PreampNF,'7227'!E97,'7227'!E97,'7227'!E97,W98,0)</f>
        <v>5</v>
      </c>
      <c r="AF98" s="2">
        <f>CHOOSE(Preamp_DataType,SF_PreampGamIn,10^('7227'!F97/20),10^('7227'!F97/20),10^('7227'!F97/20),X98,0)</f>
        <v>0.3981071705534972</v>
      </c>
      <c r="AG98" s="2">
        <f>CHOOSE(Preamp_DataType,SF_PreampGamOut,10^('7227'!G97/20),10^('7227'!G97/20),10^('7227'!G97/20),Y98,0)</f>
        <v>0.28183829312644532</v>
      </c>
      <c r="AH98" s="2">
        <f>UseReverse*CHOOSE(Preamp_DataType,PreampRevRatio,'7227'!H97,'7227'!H97,'7227'!H97,Z98,0)</f>
        <v>0</v>
      </c>
      <c r="AI98" s="2">
        <f>CHOOSE(Preamp_DataType,sf_PreampP1dB,'7227'!I97,'7227'!I97,'7227'!I97,AA98,0)</f>
        <v>5</v>
      </c>
      <c r="AJ98" s="3">
        <f>10*LOG10((NseMeas!J97/NseMeas!BW)*P1dbBWghz*1000000000)</f>
        <v>-28.652597449359142</v>
      </c>
      <c r="AK98" s="2" t="b">
        <f t="shared" si="35"/>
        <v>0</v>
      </c>
    </row>
    <row r="99" spans="1:37">
      <c r="A99" s="11">
        <v>0</v>
      </c>
      <c r="B99" s="11" t="s">
        <v>0</v>
      </c>
      <c r="C99" s="11">
        <v>0</v>
      </c>
      <c r="D99" s="11">
        <v>0</v>
      </c>
      <c r="E99" s="11">
        <v>0</v>
      </c>
      <c r="F99" s="11">
        <v>0</v>
      </c>
      <c r="G99" s="11">
        <v>0</v>
      </c>
      <c r="H99" s="11">
        <v>0</v>
      </c>
      <c r="I99" s="2">
        <f t="shared" si="27"/>
        <v>1.0000000000000001E-9</v>
      </c>
      <c r="J99" s="2">
        <f t="shared" si="28"/>
        <v>1000</v>
      </c>
      <c r="K99" s="2">
        <f t="shared" si="30"/>
        <v>970</v>
      </c>
      <c r="L99" s="2">
        <f t="shared" si="31"/>
        <v>0</v>
      </c>
      <c r="Q99" s="2">
        <f t="shared" si="32"/>
        <v>0</v>
      </c>
      <c r="R99" s="2">
        <f t="shared" si="33"/>
        <v>0</v>
      </c>
      <c r="T99" s="2">
        <f t="shared" si="36"/>
        <v>94</v>
      </c>
      <c r="U99" s="2">
        <f t="shared" si="34"/>
        <v>26.5001</v>
      </c>
      <c r="V99" s="2">
        <v>28.45</v>
      </c>
      <c r="W99" s="2">
        <v>5.36</v>
      </c>
      <c r="X99" s="2">
        <v>0.14000000000000001</v>
      </c>
      <c r="Y99" s="2">
        <v>0.06</v>
      </c>
      <c r="Z99" s="2">
        <v>0.15</v>
      </c>
      <c r="AA99" s="2">
        <v>10</v>
      </c>
      <c r="AC99" s="2">
        <f t="shared" si="29"/>
        <v>26.5001</v>
      </c>
      <c r="AD99" s="2">
        <f>CHOOSE(Preamp_DataType,SF_PreampGain,'7227'!B98,'7227'!B98,'7227'!B98,V99,0)</f>
        <v>22.990000260000002</v>
      </c>
      <c r="AE99" s="2">
        <f>CHOOSE(Preamp_DataType,SF_PreampNF,'7227'!E98,'7227'!E98,'7227'!E98,W99,0)</f>
        <v>5</v>
      </c>
      <c r="AF99" s="2">
        <f>CHOOSE(Preamp_DataType,SF_PreampGamIn,10^('7227'!F98/20),10^('7227'!F98/20),10^('7227'!F98/20),X99,0)</f>
        <v>0.3981071705534972</v>
      </c>
      <c r="AG99" s="2">
        <f>CHOOSE(Preamp_DataType,SF_PreampGamOut,10^('7227'!G98/20),10^('7227'!G98/20),10^('7227'!G98/20),Y99,0)</f>
        <v>0.28183829312644532</v>
      </c>
      <c r="AH99" s="2">
        <f>UseReverse*CHOOSE(Preamp_DataType,PreampRevRatio,'7227'!H98,'7227'!H98,'7227'!H98,Z99,0)</f>
        <v>0</v>
      </c>
      <c r="AI99" s="2">
        <f>CHOOSE(Preamp_DataType,sf_PreampP1dB,'7227'!I98,'7227'!I98,'7227'!I98,AA99,0)</f>
        <v>5</v>
      </c>
      <c r="AJ99" s="3">
        <f>10*LOG10((NseMeas!J98/NseMeas!BW)*P1dbBWghz*1000000000)</f>
        <v>-28.652597449359142</v>
      </c>
      <c r="AK99" s="2" t="b">
        <f t="shared" si="35"/>
        <v>0</v>
      </c>
    </row>
    <row r="100" spans="1:37">
      <c r="A100" s="11">
        <v>0</v>
      </c>
      <c r="B100" s="11" t="s">
        <v>0</v>
      </c>
      <c r="C100" s="11">
        <v>0</v>
      </c>
      <c r="D100" s="11">
        <v>0</v>
      </c>
      <c r="E100" s="11">
        <v>0</v>
      </c>
      <c r="F100" s="11">
        <v>0</v>
      </c>
      <c r="G100" s="11">
        <v>0</v>
      </c>
      <c r="H100" s="11">
        <v>0</v>
      </c>
      <c r="I100" s="2">
        <f t="shared" si="27"/>
        <v>1.0000000000000001E-9</v>
      </c>
      <c r="J100" s="2">
        <f t="shared" si="28"/>
        <v>1000</v>
      </c>
      <c r="K100" s="2">
        <f t="shared" si="30"/>
        <v>970</v>
      </c>
      <c r="L100" s="2">
        <f t="shared" si="31"/>
        <v>0</v>
      </c>
      <c r="Q100" s="2">
        <f t="shared" si="32"/>
        <v>0</v>
      </c>
      <c r="R100" s="2">
        <f t="shared" si="33"/>
        <v>0</v>
      </c>
      <c r="T100" s="2">
        <f t="shared" si="36"/>
        <v>95</v>
      </c>
      <c r="U100" s="2">
        <f t="shared" si="34"/>
        <v>26.5001</v>
      </c>
      <c r="V100" s="2">
        <v>28.45</v>
      </c>
      <c r="W100" s="2">
        <v>5.36</v>
      </c>
      <c r="X100" s="2">
        <v>0.14000000000000001</v>
      </c>
      <c r="Y100" s="2">
        <v>0.06</v>
      </c>
      <c r="Z100" s="2">
        <v>0.15</v>
      </c>
      <c r="AA100" s="2">
        <v>10</v>
      </c>
      <c r="AC100" s="2">
        <f t="shared" si="29"/>
        <v>26.5001</v>
      </c>
      <c r="AD100" s="2">
        <f>CHOOSE(Preamp_DataType,SF_PreampGain,'7227'!B99,'7227'!B99,'7227'!B99,V100,0)</f>
        <v>22.990000260000002</v>
      </c>
      <c r="AE100" s="2">
        <f>CHOOSE(Preamp_DataType,SF_PreampNF,'7227'!E99,'7227'!E99,'7227'!E99,W100,0)</f>
        <v>5</v>
      </c>
      <c r="AF100" s="2">
        <f>CHOOSE(Preamp_DataType,SF_PreampGamIn,10^('7227'!F99/20),10^('7227'!F99/20),10^('7227'!F99/20),X100,0)</f>
        <v>0.3981071705534972</v>
      </c>
      <c r="AG100" s="2">
        <f>CHOOSE(Preamp_DataType,SF_PreampGamOut,10^('7227'!G99/20),10^('7227'!G99/20),10^('7227'!G99/20),Y100,0)</f>
        <v>0.28183829312644532</v>
      </c>
      <c r="AH100" s="2">
        <f>UseReverse*CHOOSE(Preamp_DataType,PreampRevRatio,'7227'!H99,'7227'!H99,'7227'!H99,Z100,0)</f>
        <v>0</v>
      </c>
      <c r="AI100" s="2">
        <f>CHOOSE(Preamp_DataType,sf_PreampP1dB,'7227'!I99,'7227'!I99,'7227'!I99,AA100,0)</f>
        <v>5</v>
      </c>
      <c r="AJ100" s="3">
        <f>10*LOG10((NseMeas!J99/NseMeas!BW)*P1dbBWghz*1000000000)</f>
        <v>-28.652597449359142</v>
      </c>
      <c r="AK100" s="2" t="b">
        <f t="shared" si="35"/>
        <v>0</v>
      </c>
    </row>
    <row r="101" spans="1:37">
      <c r="A101" s="11">
        <v>0</v>
      </c>
      <c r="B101" s="11" t="s">
        <v>0</v>
      </c>
      <c r="C101" s="11">
        <v>0</v>
      </c>
      <c r="D101" s="11">
        <v>0</v>
      </c>
      <c r="E101" s="11">
        <v>0</v>
      </c>
      <c r="F101" s="11">
        <v>0</v>
      </c>
      <c r="G101" s="11">
        <v>0</v>
      </c>
      <c r="H101" s="11">
        <v>0</v>
      </c>
      <c r="I101" s="2">
        <f t="shared" si="27"/>
        <v>1.0000000000000001E-9</v>
      </c>
      <c r="J101" s="2">
        <f t="shared" si="28"/>
        <v>1000</v>
      </c>
      <c r="K101" s="2">
        <f t="shared" si="30"/>
        <v>970</v>
      </c>
      <c r="L101" s="2">
        <f t="shared" si="31"/>
        <v>0</v>
      </c>
      <c r="Q101" s="2">
        <f t="shared" si="32"/>
        <v>0</v>
      </c>
      <c r="R101" s="2">
        <f t="shared" si="33"/>
        <v>0</v>
      </c>
      <c r="T101" s="2">
        <f t="shared" si="36"/>
        <v>96</v>
      </c>
      <c r="U101" s="2">
        <f t="shared" si="34"/>
        <v>26.5001</v>
      </c>
      <c r="V101" s="2">
        <v>28.45</v>
      </c>
      <c r="W101" s="2">
        <v>5.36</v>
      </c>
      <c r="X101" s="2">
        <v>0.14000000000000001</v>
      </c>
      <c r="Y101" s="2">
        <v>0.06</v>
      </c>
      <c r="Z101" s="2">
        <v>0.15</v>
      </c>
      <c r="AA101" s="2">
        <v>10</v>
      </c>
      <c r="AC101" s="2">
        <f t="shared" si="29"/>
        <v>26.5001</v>
      </c>
      <c r="AD101" s="2">
        <f>CHOOSE(Preamp_DataType,SF_PreampGain,'7227'!B100,'7227'!B100,'7227'!B100,V101,0)</f>
        <v>22.990000260000002</v>
      </c>
      <c r="AE101" s="2">
        <f>CHOOSE(Preamp_DataType,SF_PreampNF,'7227'!E100,'7227'!E100,'7227'!E100,W101,0)</f>
        <v>5</v>
      </c>
      <c r="AF101" s="2">
        <f>CHOOSE(Preamp_DataType,SF_PreampGamIn,10^('7227'!F100/20),10^('7227'!F100/20),10^('7227'!F100/20),X101,0)</f>
        <v>0.3981071705534972</v>
      </c>
      <c r="AG101" s="2">
        <f>CHOOSE(Preamp_DataType,SF_PreampGamOut,10^('7227'!G100/20),10^('7227'!G100/20),10^('7227'!G100/20),Y101,0)</f>
        <v>0.28183829312644532</v>
      </c>
      <c r="AH101" s="2">
        <f>UseReverse*CHOOSE(Preamp_DataType,PreampRevRatio,'7227'!H100,'7227'!H100,'7227'!H100,Z101,0)</f>
        <v>0</v>
      </c>
      <c r="AI101" s="2">
        <f>CHOOSE(Preamp_DataType,sf_PreampP1dB,'7227'!I100,'7227'!I100,'7227'!I100,AA101,0)</f>
        <v>5</v>
      </c>
      <c r="AJ101" s="3">
        <f>10*LOG10((NseMeas!J100/NseMeas!BW)*P1dbBWghz*1000000000)</f>
        <v>-28.652597449359142</v>
      </c>
      <c r="AK101" s="2" t="b">
        <f t="shared" si="35"/>
        <v>0</v>
      </c>
    </row>
    <row r="102" spans="1:37">
      <c r="T102" s="2">
        <f t="shared" si="36"/>
        <v>97</v>
      </c>
      <c r="U102" s="2">
        <f t="shared" si="34"/>
        <v>26.5001</v>
      </c>
      <c r="V102" s="2">
        <v>28.45</v>
      </c>
      <c r="W102" s="2">
        <v>5.36</v>
      </c>
      <c r="X102" s="2">
        <v>0.14000000000000001</v>
      </c>
      <c r="Y102" s="2">
        <v>0.06</v>
      </c>
      <c r="Z102" s="2">
        <v>0.15</v>
      </c>
      <c r="AA102" s="2">
        <v>10</v>
      </c>
      <c r="AC102" s="2">
        <f t="shared" si="29"/>
        <v>26.5001</v>
      </c>
      <c r="AD102" s="2">
        <f>CHOOSE(Preamp_DataType,SF_PreampGain,'7227'!B101,'7227'!B101,'7227'!B101,V102,0)</f>
        <v>22.990000260000002</v>
      </c>
      <c r="AE102" s="2">
        <f>CHOOSE(Preamp_DataType,SF_PreampNF,'7227'!E101,'7227'!E101,'7227'!E101,W102,0)</f>
        <v>5</v>
      </c>
      <c r="AF102" s="2">
        <f>CHOOSE(Preamp_DataType,SF_PreampGamIn,10^('7227'!F101/20),10^('7227'!F101/20),10^('7227'!F101/20),X102,0)</f>
        <v>0.3981071705534972</v>
      </c>
      <c r="AG102" s="2">
        <f>CHOOSE(Preamp_DataType,SF_PreampGamOut,10^('7227'!G101/20),10^('7227'!G101/20),10^('7227'!G101/20),Y102,0)</f>
        <v>0.28183829312644532</v>
      </c>
      <c r="AH102" s="2">
        <f>UseReverse*CHOOSE(Preamp_DataType,PreampRevRatio,'7227'!H101,'7227'!H101,'7227'!H101,Z102,0)</f>
        <v>0</v>
      </c>
      <c r="AI102" s="2">
        <f>CHOOSE(Preamp_DataType,sf_PreampP1dB,'7227'!I101,'7227'!I101,'7227'!I101,AA102,0)</f>
        <v>5</v>
      </c>
      <c r="AJ102" s="3">
        <f>10*LOG10((NseMeas!J101/NseMeas!BW)*P1dbBWghz*1000000000)</f>
        <v>-28.652597449359142</v>
      </c>
      <c r="AK102" s="2" t="b">
        <f t="shared" si="35"/>
        <v>0</v>
      </c>
    </row>
    <row r="103" spans="1:37">
      <c r="T103" s="2">
        <f t="shared" si="36"/>
        <v>98</v>
      </c>
      <c r="U103" s="2">
        <f t="shared" si="34"/>
        <v>26.5001</v>
      </c>
      <c r="V103" s="2">
        <v>28.45</v>
      </c>
      <c r="W103" s="2">
        <v>5.36</v>
      </c>
      <c r="X103" s="2">
        <v>0.14000000000000001</v>
      </c>
      <c r="Y103" s="2">
        <v>0.06</v>
      </c>
      <c r="Z103" s="2">
        <v>0.15</v>
      </c>
      <c r="AA103" s="2">
        <v>10</v>
      </c>
      <c r="AC103" s="2">
        <f t="shared" si="29"/>
        <v>26.5001</v>
      </c>
      <c r="AD103" s="2">
        <f>CHOOSE(Preamp_DataType,SF_PreampGain,'7227'!B102,'7227'!B102,'7227'!B102,V103,0)</f>
        <v>22.990000260000002</v>
      </c>
      <c r="AE103" s="2">
        <f>CHOOSE(Preamp_DataType,SF_PreampNF,'7227'!E102,'7227'!E102,'7227'!E102,W103,0)</f>
        <v>5</v>
      </c>
      <c r="AF103" s="2">
        <f>CHOOSE(Preamp_DataType,SF_PreampGamIn,10^('7227'!F102/20),10^('7227'!F102/20),10^('7227'!F102/20),X103,0)</f>
        <v>0.3981071705534972</v>
      </c>
      <c r="AG103" s="2">
        <f>CHOOSE(Preamp_DataType,SF_PreampGamOut,10^('7227'!G102/20),10^('7227'!G102/20),10^('7227'!G102/20),Y103,0)</f>
        <v>0.28183829312644532</v>
      </c>
      <c r="AH103" s="2">
        <f>UseReverse*CHOOSE(Preamp_DataType,PreampRevRatio,'7227'!H102,'7227'!H102,'7227'!H102,Z103,0)</f>
        <v>0</v>
      </c>
      <c r="AI103" s="2">
        <f>CHOOSE(Preamp_DataType,sf_PreampP1dB,'7227'!I102,'7227'!I102,'7227'!I102,AA103,0)</f>
        <v>5</v>
      </c>
      <c r="AJ103" s="3">
        <f>10*LOG10((NseMeas!J102/NseMeas!BW)*P1dbBWghz*1000000000)</f>
        <v>-28.652597449359142</v>
      </c>
      <c r="AK103" s="2" t="b">
        <f t="shared" si="35"/>
        <v>0</v>
      </c>
    </row>
    <row r="104" spans="1:37">
      <c r="T104" s="2">
        <f t="shared" si="36"/>
        <v>99</v>
      </c>
      <c r="U104" s="2">
        <f t="shared" si="34"/>
        <v>26.5001</v>
      </c>
      <c r="V104" s="2">
        <v>28.45</v>
      </c>
      <c r="W104" s="2">
        <v>5.36</v>
      </c>
      <c r="X104" s="2">
        <v>0.14000000000000001</v>
      </c>
      <c r="Y104" s="2">
        <v>0.06</v>
      </c>
      <c r="Z104" s="2">
        <v>0.15</v>
      </c>
      <c r="AA104" s="2">
        <v>10</v>
      </c>
      <c r="AC104" s="2">
        <f t="shared" si="29"/>
        <v>26.5001</v>
      </c>
      <c r="AD104" s="2">
        <f>CHOOSE(Preamp_DataType,SF_PreampGain,'7227'!B103,'7227'!B103,'7227'!B103,V104,0)</f>
        <v>22.990000260000002</v>
      </c>
      <c r="AE104" s="2">
        <f>CHOOSE(Preamp_DataType,SF_PreampNF,'7227'!E103,'7227'!E103,'7227'!E103,W104,0)</f>
        <v>5</v>
      </c>
      <c r="AF104" s="2">
        <f>CHOOSE(Preamp_DataType,SF_PreampGamIn,10^('7227'!F103/20),10^('7227'!F103/20),10^('7227'!F103/20),X104,0)</f>
        <v>0.3981071705534972</v>
      </c>
      <c r="AG104" s="2">
        <f>CHOOSE(Preamp_DataType,SF_PreampGamOut,10^('7227'!G103/20),10^('7227'!G103/20),10^('7227'!G103/20),Y104,0)</f>
        <v>0.28183829312644532</v>
      </c>
      <c r="AH104" s="2">
        <f>UseReverse*CHOOSE(Preamp_DataType,PreampRevRatio,'7227'!H103,'7227'!H103,'7227'!H103,Z104,0)</f>
        <v>0</v>
      </c>
      <c r="AI104" s="2">
        <f>CHOOSE(Preamp_DataType,sf_PreampP1dB,'7227'!I103,'7227'!I103,'7227'!I103,AA104,0)</f>
        <v>5</v>
      </c>
      <c r="AJ104" s="3">
        <f>10*LOG10((NseMeas!J103/NseMeas!BW)*P1dbBWghz*1000000000)</f>
        <v>-28.652597449359142</v>
      </c>
      <c r="AK104" s="2" t="b">
        <f t="shared" si="35"/>
        <v>0</v>
      </c>
    </row>
    <row r="105" spans="1:37">
      <c r="T105" s="2">
        <f t="shared" si="36"/>
        <v>100</v>
      </c>
      <c r="U105" s="2">
        <f t="shared" si="34"/>
        <v>26.5001</v>
      </c>
      <c r="V105" s="2">
        <v>28.45</v>
      </c>
      <c r="W105" s="2">
        <v>5.36</v>
      </c>
      <c r="X105" s="2">
        <v>0.14000000000000001</v>
      </c>
      <c r="Y105" s="2">
        <v>0.06</v>
      </c>
      <c r="Z105" s="2">
        <v>0.15</v>
      </c>
      <c r="AA105" s="2">
        <v>10</v>
      </c>
      <c r="AC105" s="2">
        <f t="shared" si="29"/>
        <v>26.5001</v>
      </c>
      <c r="AD105" s="2">
        <f>CHOOSE(Preamp_DataType,SF_PreampGain,'7227'!B104,'7227'!B104,'7227'!B104,V105,0)</f>
        <v>22.990000260000002</v>
      </c>
      <c r="AE105" s="2">
        <f>CHOOSE(Preamp_DataType,SF_PreampNF,'7227'!E104,'7227'!E104,'7227'!E104,W105,0)</f>
        <v>5</v>
      </c>
      <c r="AF105" s="2">
        <f>CHOOSE(Preamp_DataType,SF_PreampGamIn,10^('7227'!F104/20),10^('7227'!F104/20),10^('7227'!F104/20),X105,0)</f>
        <v>0.3981071705534972</v>
      </c>
      <c r="AG105" s="2">
        <f>CHOOSE(Preamp_DataType,SF_PreampGamOut,10^('7227'!G104/20),10^('7227'!G104/20),10^('7227'!G104/20),Y105,0)</f>
        <v>0.28183829312644532</v>
      </c>
      <c r="AH105" s="2">
        <f>UseReverse*CHOOSE(Preamp_DataType,PreampRevRatio,'7227'!H104,'7227'!H104,'7227'!H104,Z105,0)</f>
        <v>0</v>
      </c>
      <c r="AI105" s="2">
        <f>CHOOSE(Preamp_DataType,sf_PreampP1dB,'7227'!I104,'7227'!I104,'7227'!I104,AA105,0)</f>
        <v>5</v>
      </c>
      <c r="AJ105" s="3">
        <f>10*LOG10((NseMeas!J104/NseMeas!BW)*P1dbBWghz*1000000000)</f>
        <v>-28.652597449359142</v>
      </c>
      <c r="AK105" s="2" t="b">
        <f t="shared" si="35"/>
        <v>0</v>
      </c>
    </row>
    <row r="106" spans="1:37">
      <c r="T106" s="2">
        <f t="shared" si="36"/>
        <v>101</v>
      </c>
      <c r="U106" s="2">
        <f t="shared" si="34"/>
        <v>26.5001</v>
      </c>
      <c r="V106" s="2">
        <v>28.45</v>
      </c>
      <c r="W106" s="2">
        <v>5.36</v>
      </c>
      <c r="X106" s="2">
        <v>0.14000000000000001</v>
      </c>
      <c r="Y106" s="2">
        <v>0.06</v>
      </c>
      <c r="Z106" s="2">
        <v>0.15</v>
      </c>
      <c r="AA106" s="2">
        <v>10</v>
      </c>
      <c r="AC106" s="2">
        <f t="shared" si="29"/>
        <v>26.5001</v>
      </c>
      <c r="AD106" s="2">
        <f>CHOOSE(Preamp_DataType,SF_PreampGain,'7227'!B105,'7227'!B105,'7227'!B105,V106,0)</f>
        <v>22.990000260000002</v>
      </c>
      <c r="AE106" s="2">
        <f>CHOOSE(Preamp_DataType,SF_PreampNF,'7227'!E105,'7227'!E105,'7227'!E105,W106,0)</f>
        <v>5</v>
      </c>
      <c r="AF106" s="2">
        <f>CHOOSE(Preamp_DataType,SF_PreampGamIn,10^('7227'!F105/20),10^('7227'!F105/20),10^('7227'!F105/20),X106,0)</f>
        <v>0.3981071705534972</v>
      </c>
      <c r="AG106" s="2">
        <f>CHOOSE(Preamp_DataType,SF_PreampGamOut,10^('7227'!G105/20),10^('7227'!G105/20),10^('7227'!G105/20),Y106,0)</f>
        <v>0.28183829312644532</v>
      </c>
      <c r="AH106" s="2">
        <f>UseReverse*CHOOSE(Preamp_DataType,PreampRevRatio,'7227'!H105,'7227'!H105,'7227'!H105,Z106,0)</f>
        <v>0</v>
      </c>
      <c r="AI106" s="2">
        <f>CHOOSE(Preamp_DataType,sf_PreampP1dB,'7227'!I105,'7227'!I105,'7227'!I105,AA106,0)</f>
        <v>5</v>
      </c>
      <c r="AJ106" s="3">
        <f>10*LOG10((NseMeas!J105/NseMeas!BW)*P1dbBWghz*1000000000)</f>
        <v>-28.652597449359142</v>
      </c>
      <c r="AK106" s="2" t="b">
        <f t="shared" si="35"/>
        <v>0</v>
      </c>
    </row>
    <row r="107" spans="1:37">
      <c r="T107" s="2">
        <f t="shared" si="36"/>
        <v>102</v>
      </c>
      <c r="U107" s="2">
        <f t="shared" si="34"/>
        <v>26.5001</v>
      </c>
      <c r="V107" s="2">
        <v>28.45</v>
      </c>
      <c r="W107" s="2">
        <v>5.36</v>
      </c>
      <c r="X107" s="2">
        <v>0.14000000000000001</v>
      </c>
      <c r="Y107" s="2">
        <v>0.06</v>
      </c>
      <c r="Z107" s="2">
        <v>0.15</v>
      </c>
      <c r="AA107" s="2">
        <v>10</v>
      </c>
      <c r="AC107" s="2">
        <f t="shared" ref="AC107" si="37">U107</f>
        <v>26.5001</v>
      </c>
      <c r="AD107" s="2">
        <f>CHOOSE(Preamp_DataType,SF_PreampGain,'7227'!B106,'7227'!B106,'7227'!B106,V107,0)</f>
        <v>22.990000260000002</v>
      </c>
      <c r="AE107" s="2">
        <f>CHOOSE(Preamp_DataType,SF_PreampNF,'7227'!E106,'7227'!E106,'7227'!E106,W107,0)</f>
        <v>5</v>
      </c>
      <c r="AF107" s="2">
        <f>CHOOSE(Preamp_DataType,SF_PreampGamIn,10^('7227'!F106/20),10^('7227'!F106/20),10^('7227'!F106/20),X107,0)</f>
        <v>0.3981071705534972</v>
      </c>
      <c r="AG107" s="2">
        <f>CHOOSE(Preamp_DataType,SF_PreampGamOut,10^('7227'!G106/20),10^('7227'!G106/20),10^('7227'!G106/20),Y107,0)</f>
        <v>0.28183829312644532</v>
      </c>
      <c r="AH107" s="2">
        <f>UseReverse*CHOOSE(Preamp_DataType,PreampRevRatio,'7227'!H106,'7227'!H106,'7227'!H106,Z107,0)</f>
        <v>0</v>
      </c>
      <c r="AI107" s="2">
        <f>CHOOSE(Preamp_DataType,sf_PreampP1dB,'7227'!I106,'7227'!I106,'7227'!I106,AA107,0)</f>
        <v>5</v>
      </c>
      <c r="AJ107" s="81">
        <f>10*LOG10((NseMeas!J106/NseMeas!BW)*P1dbBWghz*1000000000)</f>
        <v>-28.652597449359142</v>
      </c>
      <c r="AK107" s="2" t="b">
        <f t="shared" si="35"/>
        <v>0</v>
      </c>
    </row>
  </sheetData>
  <sheetProtection algorithmName="SHA-512" hashValue="/7jqS1XuTSVvgjAP7Cc/VN5MiFLZKVZYZr4FHEUdhsPAFGUPsBsC4JlmzFzndNb2e1PoCY/RSs7kwfp2dTf2dQ==" saltValue="wRAuW9qp6JNG8Ov6L2DGlQ==" spinCount="100000" sheet="1" objects="1" scenarios="1" selectLockedCells="1"/>
  <conditionalFormatting sqref="U6:AK107">
    <cfRule type="expression" dxfId="10" priority="5">
      <formula>$T6&gt;NumPoints</formula>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 id="{E54ECD75-453A-4737-8734-F919FCA7F415}">
            <xm:f>$A6&gt;'\tf\MainTFS\src\FieldFox\Application\NoiseFigure\UncertaintySpreadsheet\[FieldFoxNFUncert.xlsx]DashBoard'!#REF!</xm:f>
            <x14:dxf>
              <font>
                <color theme="0"/>
              </font>
            </x14:dxf>
          </x14:cfRule>
          <xm:sqref>AK6</xm:sqref>
        </x14:conditionalFormatting>
        <x14:conditionalFormatting xmlns:xm="http://schemas.microsoft.com/office/excel/2006/main">
          <x14:cfRule type="expression" priority="1" id="{D6243A3F-7857-4A2D-B596-6C520B41353A}">
            <xm:f>$A7&gt;'\tf\MainTFS\src\FieldFox\Application\NoiseFigure\UncertaintySpreadsheet\[FieldFoxNFUncert.xlsx]DashBoard'!#REF!</xm:f>
            <x14:dxf>
              <font>
                <color theme="0"/>
              </font>
            </x14:dxf>
          </x14:cfRule>
          <xm:sqref>AK7:AK107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4 D A A B Q S w M E F A A C A A g A c m Q + T G P b j p K n A A A A + A A A A B I A H A B D b 2 5 m a W c v U G F j a 2 F n Z S 5 4 b W w g o h g A K K A U A A A A A A A A A A A A A A A A A A A A A A A A A A A A h Y 9 N D o I w G E S v Q r q n P 8 A C y U d Z u J X E h G j c N r V C I x R D i + V u L j y S V 5 B E U X c u Z / I m e f O 4 3 a G Y u j a 4 q s H q 3 u S I Y Y o C Z W R / 1 K b O 0 e h O Y Y o K D l s h z 6 J W w Q w b m 0 1 W 5 6 h x 7 p I R 4 r 3 H P s b 9 U J O I U k Y O 5 a a S j e p E q I 1 1 w k i F P q v j / x X i s H / J 8 A g n K 5 y k M c N x y o A s N Z T a f J F o N s Y U y E 8 J 6 7 F 1 4 6 C 4 M u G u A r J E I O 8 X / A l Q S w M E F A A C A A g A c m Q + 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J k P k y S J + y o 9 Q A A A N M B A A A T A B w A R m 9 y b X V s Y X M v U 2 V j d G l v b j E u b S C i G A A o o B Q A A A A A A A A A A A A A A A A A A A A A A A A A A A B 1 z 8 9 L w z A U B / B 7 o f 9 D i J c W Q r H V 6 X D k I F 1 7 U Q r a 4 s W O U b t n F 2 h f J D / E M f a / G y l D B J N L k s 8 L L 9 + n o T d C I q n n P V 2 F Q R j o f a d g R x 4 u 0 2 3 x c v 9 I O B n B h A F x q 5 Z W 9 e A k 1 5 / J W v Z 2 A j R R K U Z I c o n G X X R E y 7 u 2 k k J D K Q a r o C 2 q 5 / b c K w F U N G a v a x j F J A w o T h l l J J e j n V D z J S M F 9 n I n c O B p t s g Y e b L S Q G 0 O I / D f Y 1 J J h E 3 M 5 k w X N N 9 3 O L j E z e E D q A v X d G / u U a M 6 1 O 9 S T X P 3 n 6 K O 5 g H Y 8 U h n T d 3 v x l W I g S 9 z Y u T s m c e v P H 7 t 8 Y X H b z x + 6 / H l H z / F Y S D w 3 / F X 3 1 B L A Q I t A B Q A A g A I A H J k P k x j 2 4 6 S p w A A A P g A A A A S A A A A A A A A A A A A A A A A A A A A A A B D b 2 5 m a W c v U G F j a 2 F n Z S 5 4 b W x Q S w E C L Q A U A A I A C A B y Z D 5 M D 8 r p q 6 Q A A A D p A A A A E w A A A A A A A A A A A A A A A A D z A A A A W 0 N v b n R l b n R f V H l w Z X N d L n h t b F B L A Q I t A B Q A A g A I A H J k P k y S J + y o 9 Q A A A N M B A A A T A A A A A A A A A A A A A A A A A O Q B A A B G b 3 J t d W x h c y 9 T Z W N 0 a W 9 u M S 5 t U E s F B g A A A A A D A A M A w g A A A C Y 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0 L A A A A A A A A O w 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s w M V 9 F V k F M 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M Y X N 0 V X B k Y X R l Z C I g V m F s d W U 9 I m Q y M D E 4 L T A x L T I 5 V D I y O j U z O j M 1 L j c z N j Q z M T d a I i A v P j x F b n R y e S B U e X B l P S J G a W x s Q 2 9 s d W 1 u T m F t Z X M i I F Z h b H V l P S J z W y Z x d W 9 0 O 0 N v b H V t b j E m c X V v d D s s J n F 1 b 3 Q 7 Q 2 9 s d W 1 u M i Z x d W 9 0 O y w m c X V v d D t D b 2 x 1 b W 4 z J n F 1 b 3 Q 7 L C Z x d W 9 0 O 0 N v b H V t b j Q m c X V v d D s s J n F 1 b 3 Q 7 Q 2 9 s d W 1 u N S Z x d W 9 0 O y w m c X V v d D t D b 2 x 1 b W 4 2 J n F 1 b 3 Q 7 L C Z x d W 9 0 O 0 N v b H V t b j c m c X V v d D s s J n F 1 b 3 Q 7 Q 2 9 s d W 1 u O C Z x d W 9 0 O 1 0 i I C 8 + P E V u d H J 5 I F R 5 c G U 9 I k Z p b G x F c n J v c k N v Z G U i I F Z h b H V l P S J z V W 5 r b m 9 3 b i I g L z 4 8 R W 5 0 c n k g V H l w Z T 0 i R m l s b E N v b H V t b l R 5 c G V z I i B W Y W x 1 Z T 0 i c 0 J n W U d C Z 1 l H Q m d Z P S I g L z 4 8 R W 5 0 c n k g V H l w Z T 0 i R m l s b E V y c m 9 y Q 2 9 1 b n Q i I F Z h b H V l P S J s M C I g L z 4 8 R W 5 0 c n k g V H l w Z T 0 i R m l s b E N v d W 5 0 I i B W Y W x 1 Z T 0 i b D Y z I i A v P j x F b n R y e S B U e X B l P S J G a W x s U 3 R h d H V z I i B W Y W x 1 Z T 0 i c 0 N v b X B s Z X R l I i A v P j x F b n R y e S B U e X B l P S J O Y W 1 l V X B k Y X R l Z E F m d G V y R m l s b C I g V m F s d W U 9 I m w w I i A v P j x F b n R y e S B U e X B l P S J B Z G R l Z F R v R G F 0 Y U 1 v Z G V s I i B W Y W x 1 Z T 0 i b D A i I C 8 + P E V u d H J 5 I F R 5 c G U 9 I k Z p b G x l Z E N v b X B s Z X R l U m V z d W x 0 V G 9 X b 3 J r c 2 h l Z X Q i I F Z h b H V l P S J s M S I g L z 4 8 R W 5 0 c n k g V H l w Z T 0 i U m V s Y X R p b 2 5 z a G l w S W 5 m b 0 N v b n R h a W 5 l c i I g V m F s d W U 9 I n N 7 J n F 1 b 3 Q 7 Y 2 9 s d W 1 u Q 2 9 1 b n Q m c X V v d D s 6 O C w m c X V v d D t r Z X l D b 2 x 1 b W 5 O Y W 1 l c y Z x d W 9 0 O z p b X S w m c X V v d D t x d W V y e V J l b G F 0 a W 9 u c 2 h p c H M m c X V v d D s 6 W 1 0 s J n F 1 b 3 Q 7 Y 2 9 s d W 1 u S W R l b n R p d G l l c y Z x d W 9 0 O z p b J n F 1 b 3 Q 7 U 2 V j d G l v b j E v S z A x X 0 V W Q U w v Q 2 h h b m d l Z C B U e X B l L n t D b 2 x 1 b W 4 x L D B 9 J n F 1 b 3 Q 7 L C Z x d W 9 0 O 1 N l Y 3 R p b 2 4 x L 0 s w M V 9 F V k F M L 0 N o Y W 5 n Z W Q g V H l w Z S 5 7 Q 2 9 s d W 1 u M i w x f S Z x d W 9 0 O y w m c X V v d D t T Z W N 0 a W 9 u M S 9 L M D F f R V Z B T C 9 D a G F u Z 2 V k I F R 5 c G U u e 0 N v b H V t b j M s M n 0 m c X V v d D s s J n F 1 b 3 Q 7 U 2 V j d G l v b j E v S z A x X 0 V W Q U w v Q 2 h h b m d l Z C B U e X B l L n t D b 2 x 1 b W 4 0 L D N 9 J n F 1 b 3 Q 7 L C Z x d W 9 0 O 1 N l Y 3 R p b 2 4 x L 0 s w M V 9 F V k F M L 0 N o Y W 5 n Z W Q g V H l w Z S 5 7 Q 2 9 s d W 1 u N S w 0 f S Z x d W 9 0 O y w m c X V v d D t T Z W N 0 a W 9 u M S 9 L M D F f R V Z B T C 9 D a G F u Z 2 V k I F R 5 c G U u e 0 N v b H V t b j Y s N X 0 m c X V v d D s s J n F 1 b 3 Q 7 U 2 V j d G l v b j E v S z A x X 0 V W Q U w v Q 2 h h b m d l Z C B U e X B l L n t D b 2 x 1 b W 4 3 L D Z 9 J n F 1 b 3 Q 7 L C Z x d W 9 0 O 1 N l Y 3 R p b 2 4 x L 0 s w M V 9 F V k F M L 0 N o Y W 5 n Z W Q g V H l w Z S 5 7 Q 2 9 s d W 1 u O C w 3 f S Z x d W 9 0 O 1 0 s J n F 1 b 3 Q 7 Q 2 9 s d W 1 u Q 2 9 1 b n Q m c X V v d D s 6 O C w m c X V v d D t L Z X l D b 2 x 1 b W 5 O Y W 1 l c y Z x d W 9 0 O z p b X S w m c X V v d D t D b 2 x 1 b W 5 J Z G V u d G l 0 a W V z J n F 1 b 3 Q 7 O l s m c X V v d D t T Z W N 0 a W 9 u M S 9 L M D F f R V Z B T C 9 D a G F u Z 2 V k I F R 5 c G U u e 0 N v b H V t b j E s M H 0 m c X V v d D s s J n F 1 b 3 Q 7 U 2 V j d G l v b j E v S z A x X 0 V W Q U w v Q 2 h h b m d l Z C B U e X B l L n t D b 2 x 1 b W 4 y L D F 9 J n F 1 b 3 Q 7 L C Z x d W 9 0 O 1 N l Y 3 R p b 2 4 x L 0 s w M V 9 F V k F M L 0 N o Y W 5 n Z W Q g V H l w Z S 5 7 Q 2 9 s d W 1 u M y w y f S Z x d W 9 0 O y w m c X V v d D t T Z W N 0 a W 9 u M S 9 L M D F f R V Z B T C 9 D a G F u Z 2 V k I F R 5 c G U u e 0 N v b H V t b j Q s M 3 0 m c X V v d D s s J n F 1 b 3 Q 7 U 2 V j d G l v b j E v S z A x X 0 V W Q U w v Q 2 h h b m d l Z C B U e X B l L n t D b 2 x 1 b W 4 1 L D R 9 J n F 1 b 3 Q 7 L C Z x d W 9 0 O 1 N l Y 3 R p b 2 4 x L 0 s w M V 9 F V k F M L 0 N o Y W 5 n Z W Q g V H l w Z S 5 7 Q 2 9 s d W 1 u N i w 1 f S Z x d W 9 0 O y w m c X V v d D t T Z W N 0 a W 9 u M S 9 L M D F f R V Z B T C 9 D a G F u Z 2 V k I F R 5 c G U u e 0 N v b H V t b j c s N n 0 m c X V v d D s s J n F 1 b 3 Q 7 U 2 V j d G l v b j E v S z A x X 0 V W Q U w v Q 2 h h b m d l Z C B U e X B l L n t D b 2 x 1 b W 4 4 L D d 9 J n F 1 b 3 Q 7 X S w m c X V v d D t S Z W x h d G l v b n N o a X B J b m Z v J n F 1 b 3 Q 7 O l t d f S I g L z 4 8 L 1 N 0 Y W J s Z U V u d H J p Z X M + P C 9 J d G V t P j x J d G V t P j x J d G V t T G 9 j Y X R p b 2 4 + P E l 0 Z W 1 U e X B l P k Z v c m 1 1 b G E 8 L 0 l 0 Z W 1 U e X B l P j x J d G V t U G F 0 a D 5 T Z W N 0 a W 9 u M S 9 L M D F f R V Z B T C 9 T b 3 V y Y 2 U 8 L 0 l 0 Z W 1 Q Y X R o P j w v S X R l b U x v Y 2 F 0 a W 9 u P j x T d G F i b G V F b n R y a W V z I C 8 + P C 9 J d G V t P j x J d G V t P j x J d G V t T G 9 j Y X R p b 2 4 + P E l 0 Z W 1 U e X B l P k Z v c m 1 1 b G E 8 L 0 l 0 Z W 1 U e X B l P j x J d G V t U G F 0 a D 5 T Z W N 0 a W 9 u M S 9 L M D F f R V Z B T C 9 D a G F u Z 2 V k J T I w V H l w Z T w v S X R l b V B h d G g + P C 9 J d G V t T G 9 j Y X R p b 2 4 + P F N 0 Y W J s Z U V u d H J p Z X M g L z 4 8 L 0 l 0 Z W 0 + P C 9 J d G V t c z 4 8 L 0 x v Y 2 F s U G F j a 2 F n Z U 1 l d G F k Y X R h R m l s Z T 4 W A A A A U E s F B g A A A A A A A A A A A A A A A A A A A A A A A N o A A A A B A A A A 0 I y d 3 w E V 0 R G M e g D A T 8 K X 6 w E A A A B O S d R h L m l Y T 7 F + r b x t x 3 e C A A A A A A I A A A A A A A N m A A D A A A A A E A A A A O 6 m i Y K x 2 m P E S v 7 z U 4 r P c t s A A A A A B I A A A K A A A A A Q A A A A G x l l J P U 5 u m V 8 n f f f I F v N R F A A A A B o B g / i M 1 F C T Q 4 0 S q 6 x v F C l Z I X B c 4 4 F H C D Q V e j 9 q j f N k N Z E 6 Y N 9 m c j s 6 a H l i z T l E L 5 v m 4 3 j X z d 2 S A q B S m A C e i I J h F I J k W z e r P 9 i t / v a 2 d l u f h Q A A A D 1 F C 8 j T A p j R U E u T G a T i 5 m 6 h E m G b Q = = < / D a t a M a s h u p > 
</file>

<file path=customXml/itemProps1.xml><?xml version="1.0" encoding="utf-8"?>
<ds:datastoreItem xmlns:ds="http://schemas.openxmlformats.org/officeDocument/2006/customXml" ds:itemID="{819DE3CC-196E-45C2-87A8-4DF931A463F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86</vt:i4>
      </vt:variant>
    </vt:vector>
  </HeadingPairs>
  <TitlesOfParts>
    <vt:vector size="98" baseType="lpstr">
      <vt:lpstr>DashBoard</vt:lpstr>
      <vt:lpstr>Sys Info</vt:lpstr>
      <vt:lpstr>Result</vt:lpstr>
      <vt:lpstr>User Cal. Noise Std</vt:lpstr>
      <vt:lpstr>Meas. Noise Std</vt:lpstr>
      <vt:lpstr>FieldFox</vt:lpstr>
      <vt:lpstr>7227</vt:lpstr>
      <vt:lpstr>DUT</vt:lpstr>
      <vt:lpstr>Preamp</vt:lpstr>
      <vt:lpstr>346</vt:lpstr>
      <vt:lpstr>Calibration</vt:lpstr>
      <vt:lpstr>NseMeas</vt:lpstr>
      <vt:lpstr>NseMeas!BW</vt:lpstr>
      <vt:lpstr>BW</vt:lpstr>
      <vt:lpstr>BWsetting</vt:lpstr>
      <vt:lpstr>Cal_SF_ENR</vt:lpstr>
      <vt:lpstr>Cal_SF_GamCold</vt:lpstr>
      <vt:lpstr>CalAmbient</vt:lpstr>
      <vt:lpstr>CalAmbientR</vt:lpstr>
      <vt:lpstr>CalGoal</vt:lpstr>
      <vt:lpstr>CalIntegrationType</vt:lpstr>
      <vt:lpstr>CalMaxTime</vt:lpstr>
      <vt:lpstr>CalNseSrc_DataType</vt:lpstr>
      <vt:lpstr>CalSF_NSgamma</vt:lpstr>
      <vt:lpstr>ConverterInputStart</vt:lpstr>
      <vt:lpstr>ConverterInputStop</vt:lpstr>
      <vt:lpstr>DUT_DataType</vt:lpstr>
      <vt:lpstr>Preamp!DutConf</vt:lpstr>
      <vt:lpstr>DutConf</vt:lpstr>
      <vt:lpstr>DUTgamConf</vt:lpstr>
      <vt:lpstr>DutType</vt:lpstr>
      <vt:lpstr>ENRconf</vt:lpstr>
      <vt:lpstr>ENRU_DataType</vt:lpstr>
      <vt:lpstr>FFAmbientOffset</vt:lpstr>
      <vt:lpstr>FFcompressed</vt:lpstr>
      <vt:lpstr>FieldFoxType</vt:lpstr>
      <vt:lpstr>FixedMeasTime</vt:lpstr>
      <vt:lpstr>FixedMeasTimeUC</vt:lpstr>
      <vt:lpstr>FreqStep</vt:lpstr>
      <vt:lpstr>InputFreqStep</vt:lpstr>
      <vt:lpstr>IntegrationType</vt:lpstr>
      <vt:lpstr>NseMeas!Jitter1H1s</vt:lpstr>
      <vt:lpstr>Jitter1H1s</vt:lpstr>
      <vt:lpstr>NseMeas!k_mw</vt:lpstr>
      <vt:lpstr>k_mw</vt:lpstr>
      <vt:lpstr>NseMeas!kT0dB</vt:lpstr>
      <vt:lpstr>kT0dB</vt:lpstr>
      <vt:lpstr>NseMeas!MagKnown</vt:lpstr>
      <vt:lpstr>MagKnown</vt:lpstr>
      <vt:lpstr>NseMeas!MagLimited</vt:lpstr>
      <vt:lpstr>MagLimited</vt:lpstr>
      <vt:lpstr>MeasAmbient</vt:lpstr>
      <vt:lpstr>MeasAmbientR</vt:lpstr>
      <vt:lpstr>MeasJitterGoal</vt:lpstr>
      <vt:lpstr>MeasMaxTime</vt:lpstr>
      <vt:lpstr>nSD</vt:lpstr>
      <vt:lpstr>NseSrc_DataType</vt:lpstr>
      <vt:lpstr>DUT!NseSrcConf</vt:lpstr>
      <vt:lpstr>Preamp!NseSrcConf</vt:lpstr>
      <vt:lpstr>'User Cal. Noise Std'!NseSrcConf</vt:lpstr>
      <vt:lpstr>NseSrcConf</vt:lpstr>
      <vt:lpstr>DUT!NseSrcCong</vt:lpstr>
      <vt:lpstr>Preamp!NseSrcCong</vt:lpstr>
      <vt:lpstr>'User Cal. Noise Std'!NseSrcCong</vt:lpstr>
      <vt:lpstr>NseSrcCong</vt:lpstr>
      <vt:lpstr>NseSrcGamConf</vt:lpstr>
      <vt:lpstr>NumPoints</vt:lpstr>
      <vt:lpstr>P1dbBWghz</vt:lpstr>
      <vt:lpstr>Preamp_DataType</vt:lpstr>
      <vt:lpstr>PreampCompressWarn</vt:lpstr>
      <vt:lpstr>PreampGamConf</vt:lpstr>
      <vt:lpstr>PreampRevRatio</vt:lpstr>
      <vt:lpstr>SelectInfoDisplay</vt:lpstr>
      <vt:lpstr>SF_DUT_RevRatio</vt:lpstr>
      <vt:lpstr>SF_DUTGain</vt:lpstr>
      <vt:lpstr>SF_DUTGamIn</vt:lpstr>
      <vt:lpstr>SF_DUTGamOut</vt:lpstr>
      <vt:lpstr>SF_DUTNF</vt:lpstr>
      <vt:lpstr>SF_ENR</vt:lpstr>
      <vt:lpstr>SF_ENRU</vt:lpstr>
      <vt:lpstr>SF_GamCold</vt:lpstr>
      <vt:lpstr>SF_NSgamma</vt:lpstr>
      <vt:lpstr>SF_PampRevRatio</vt:lpstr>
      <vt:lpstr>SF_PreampGain</vt:lpstr>
      <vt:lpstr>SF_PreampGamIn</vt:lpstr>
      <vt:lpstr>SF_PreampGamOut</vt:lpstr>
      <vt:lpstr>SF_PreampNF</vt:lpstr>
      <vt:lpstr>sf_PreampP1dB</vt:lpstr>
      <vt:lpstr>SrcDispSelect</vt:lpstr>
      <vt:lpstr>StartFreqGHz</vt:lpstr>
      <vt:lpstr>StopFreqGHz</vt:lpstr>
      <vt:lpstr>NseMeas!T_0</vt:lpstr>
      <vt:lpstr>T_0</vt:lpstr>
      <vt:lpstr>TambientDrift</vt:lpstr>
      <vt:lpstr>TffDelta</vt:lpstr>
      <vt:lpstr>UsePreamp</vt:lpstr>
      <vt:lpstr>UseReverse</vt:lpstr>
      <vt:lpstr>UseUserCal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ELLIS,CAROLE (K-Scotland,ex1)</cp:lastModifiedBy>
  <dcterms:created xsi:type="dcterms:W3CDTF">2017-09-28T14:26:12Z</dcterms:created>
  <dcterms:modified xsi:type="dcterms:W3CDTF">2019-09-27T06:21:52Z</dcterms:modified>
</cp:coreProperties>
</file>